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drawings/drawing16.xml" ContentType="application/vnd.openxmlformats-officedocument.drawing+xml"/>
  <Override PartName="/xl/charts/chart5.xml" ContentType="application/vnd.openxmlformats-officedocument.drawingml.chart+xml"/>
  <Override PartName="/xl/theme/themeOverride5.xml" ContentType="application/vnd.openxmlformats-officedocument.themeOverride+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harts/chart6.xml" ContentType="application/vnd.openxmlformats-officedocument.drawingml.chart+xml"/>
  <Override PartName="/xl/drawings/drawing23.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24226"/>
  <mc:AlternateContent xmlns:mc="http://schemas.openxmlformats.org/markup-compatibility/2006">
    <mc:Choice Requires="x15">
      <x15ac:absPath xmlns:x15ac="http://schemas.microsoft.com/office/spreadsheetml/2010/11/ac" url="https://tditx.sharepoint.com/sites/INS_PC_Actuarial/Shared Documents/PC_Staff/David/Templates Update/"/>
    </mc:Choice>
  </mc:AlternateContent>
  <xr:revisionPtr revIDLastSave="5010" documentId="14_{95F555B5-3188-40A0-A1AA-41D65A71566F}" xr6:coauthVersionLast="47" xr6:coauthVersionMax="47" xr10:uidLastSave="{3EF6406A-0338-4FE1-A498-57D1AADF2209}"/>
  <bookViews>
    <workbookView xWindow="0" yWindow="-16320" windowWidth="29040" windowHeight="15720" firstSheet="1" activeTab="3" xr2:uid="{00000000-000D-0000-FFFF-FFFF00000000}"/>
  </bookViews>
  <sheets>
    <sheet name="Drop Down Lists and Formatting" sheetId="48" state="hidden" r:id="rId1"/>
    <sheet name="READ ME" sheetId="39" r:id="rId2"/>
    <sheet name="A-Rate Filing Checklist" sheetId="43" r:id="rId3"/>
    <sheet name="General Information" sheetId="25" r:id="rId4"/>
    <sheet name="Indication Checklist" sheetId="42" r:id="rId5"/>
    <sheet name="C1-Statewide Avg Rate Level Chg" sheetId="20" r:id="rId6"/>
    <sheet name="C2-Rate Change History" sheetId="19" r:id="rId7"/>
    <sheet name="C3-Rate Change by Variable" sheetId="21" r:id="rId8"/>
    <sheet name="D-Historical Experience" sheetId="16" r:id="rId9"/>
    <sheet name="E-Expense" sheetId="50" r:id="rId10"/>
    <sheet name="1-Indication" sheetId="1" r:id="rId11"/>
    <sheet name="2-Current Rate Level" sheetId="13" r:id="rId12"/>
    <sheet name="3-Trend Period" sheetId="47" r:id="rId13"/>
    <sheet name="4A-Premium Trend" sheetId="6" r:id="rId14"/>
    <sheet name="4B-Premium Trend" sheetId="12" r:id="rId15"/>
    <sheet name="5A-Loss Trend" sheetId="4" r:id="rId16"/>
    <sheet name="5B-Loss Trend" sheetId="11" r:id="rId17"/>
    <sheet name="5C-Loss Trend" sheetId="5" r:id="rId18"/>
    <sheet name="5D-Loss Ratio Trend" sheetId="3" r:id="rId19"/>
    <sheet name="6-Loss Development" sheetId="10" r:id="rId20"/>
    <sheet name="7-Large Loss Load" sheetId="45" r:id="rId21"/>
    <sheet name="8-Non-Modeled Cat Loss Load" sheetId="24" r:id="rId22"/>
    <sheet name="9-Modeled Cat" sheetId="23" r:id="rId23"/>
    <sheet name="10-Loss Adjustment Expenses" sheetId="14" r:id="rId24"/>
    <sheet name="11-Fixed &amp; Variable Expenses" sheetId="15" r:id="rId25"/>
    <sheet name="12-Reinsurance" sheetId="29" r:id="rId26"/>
    <sheet name="13A-Profit" sheetId="37" r:id="rId27"/>
    <sheet name="13B-Effective Return" sheetId="38" r:id="rId28"/>
    <sheet name="14-Credibility" sheetId="51" r:id="rId29"/>
    <sheet name="15-Fees" sheetId="31" r:id="rId30"/>
    <sheet name="16-Policyholder Impact" sheetId="18" r:id="rId31"/>
    <sheet name="17-Premium Change by County" sheetId="44" r:id="rId32"/>
  </sheets>
  <definedNames>
    <definedName name="Assessments1" localSheetId="28">#REF!</definedName>
    <definedName name="Assessments1">'Drop Down Lists and Formatting'!$A$48:$A$51</definedName>
    <definedName name="Assessments2" localSheetId="28">#REF!</definedName>
    <definedName name="Assessments2">'Drop Down Lists and Formatting'!$A$54:$A$58</definedName>
    <definedName name="Confirm_NA" localSheetId="28">#REF!</definedName>
    <definedName name="Confirm_NA">'Drop Down Lists and Formatting'!$E$18:$E$19</definedName>
    <definedName name="CY_AY">'Drop Down Lists and Formatting'!$A$36:$A$37</definedName>
    <definedName name="DCCE">'Drop Down Lists and Formatting'!$A$40:$A$41</definedName>
    <definedName name="Fees" localSheetId="29">'15-Fees'!$M$9:$M$9</definedName>
    <definedName name="LOB" localSheetId="28">#REF!</definedName>
    <definedName name="LOB">'Drop Down Lists and Formatting'!$E$2:$E$11</definedName>
    <definedName name="_xlnm.Print_Area" localSheetId="23">'10-Loss Adjustment Expenses'!$A$1:$G$51</definedName>
    <definedName name="_xlnm.Print_Area" localSheetId="25">'12-Reinsurance'!$A$1:$G$51</definedName>
    <definedName name="_xlnm.Print_Area" localSheetId="29">'15-Fees'!$A$1:$G$52</definedName>
    <definedName name="_xlnm.Print_Area" localSheetId="30">'16-Policyholder Impact'!$A$1:$H$61</definedName>
    <definedName name="_xlnm.Print_Area" localSheetId="12">'3-Trend Period'!$A$1:$G$40</definedName>
    <definedName name="_xlnm.Print_Area" localSheetId="13">'4A-Premium Trend'!$A$1:$I$62</definedName>
    <definedName name="_xlnm.Print_Area" localSheetId="14">'4B-Premium Trend'!$A$1:$F$43</definedName>
    <definedName name="_xlnm.Print_Area" localSheetId="15">'5A-Loss Trend'!$A$1:$P$46</definedName>
    <definedName name="_xlnm.Print_Area" localSheetId="16">'5B-Loss Trend'!$A$1:$G$41</definedName>
    <definedName name="_xlnm.Print_Area" localSheetId="17">'5C-Loss Trend'!$A$1:$J$62</definedName>
    <definedName name="_xlnm.Print_Area" localSheetId="18">'5D-Loss Ratio Trend'!$B$1:$I$59</definedName>
    <definedName name="_xlnm.Print_Area" localSheetId="19">'6-Loss Development'!$A$1:$K$74</definedName>
    <definedName name="_xlnm.Print_Area" localSheetId="21">'8-Non-Modeled Cat Loss Load'!$A$1:$E$85</definedName>
    <definedName name="_xlnm.Print_Area" localSheetId="22">'9-Modeled Cat'!$A$1:$I$80</definedName>
    <definedName name="_xlnm.Print_Area" localSheetId="2">'A-Rate Filing Checklist'!$A$1:$H$52</definedName>
    <definedName name="_xlnm.Print_Area" localSheetId="9">'E-Expense'!$A$1:$K$72</definedName>
    <definedName name="_xlnm.Print_Area" localSheetId="3">'General Information'!$A$1:$F$47</definedName>
    <definedName name="_xlnm.Print_Area" localSheetId="4">'Indication Checklist'!$A$1:$F$41</definedName>
    <definedName name="_xlnm.Print_Titles" localSheetId="23">'10-Loss Adjustment Expenses'!$1:$7</definedName>
    <definedName name="_xlnm.Print_Titles" localSheetId="24">'11-Fixed &amp; Variable Expenses'!$1:$6</definedName>
    <definedName name="_xlnm.Print_Titles" localSheetId="25">'12-Reinsurance'!$1:$7</definedName>
    <definedName name="_xlnm.Print_Titles" localSheetId="26">'13A-Profit'!$1:$6</definedName>
    <definedName name="_xlnm.Print_Titles" localSheetId="28">'14-Credibility'!$1:$6</definedName>
    <definedName name="_xlnm.Print_Titles" localSheetId="29">'15-Fees'!$1:$6</definedName>
    <definedName name="_xlnm.Print_Titles" localSheetId="30">'16-Policyholder Impact'!$1:$6</definedName>
    <definedName name="_xlnm.Print_Titles" localSheetId="31">'17-Premium Change by County'!$1:$10</definedName>
    <definedName name="_xlnm.Print_Titles" localSheetId="10">'1-Indication'!$1:$6</definedName>
    <definedName name="_xlnm.Print_Titles" localSheetId="11">'2-Current Rate Level'!$1:$6</definedName>
    <definedName name="_xlnm.Print_Titles" localSheetId="12">'3-Trend Period'!$1:$6</definedName>
    <definedName name="_xlnm.Print_Titles" localSheetId="13">'4A-Premium Trend'!$1:$6</definedName>
    <definedName name="_xlnm.Print_Titles" localSheetId="14">'4B-Premium Trend'!$1:$6</definedName>
    <definedName name="_xlnm.Print_Titles" localSheetId="17">'5C-Loss Trend'!$1:$6</definedName>
    <definedName name="_xlnm.Print_Titles" localSheetId="18">'5D-Loss Ratio Trend'!$1:$6</definedName>
    <definedName name="_xlnm.Print_Titles" localSheetId="19">'6-Loss Development'!$1:$6</definedName>
    <definedName name="_xlnm.Print_Titles" localSheetId="20">'7-Large Loss Load'!$1:$6</definedName>
    <definedName name="_xlnm.Print_Titles" localSheetId="21">'8-Non-Modeled Cat Loss Load'!$1:$6</definedName>
    <definedName name="_xlnm.Print_Titles" localSheetId="22">'9-Modeled Cat'!$1:$6</definedName>
    <definedName name="_xlnm.Print_Titles" localSheetId="2">'A-Rate Filing Checklist'!$1:$6</definedName>
    <definedName name="_xlnm.Print_Titles" localSheetId="5">'C1-Statewide Avg Rate Level Chg'!$1:$6</definedName>
    <definedName name="_xlnm.Print_Titles" localSheetId="6">'C2-Rate Change History'!$1:$6</definedName>
    <definedName name="_xlnm.Print_Titles" localSheetId="7">'C3-Rate Change by Variable'!$1:$6</definedName>
    <definedName name="_xlnm.Print_Titles" localSheetId="9">'E-Expense'!$1:$6</definedName>
    <definedName name="_xlnm.Print_Titles" localSheetId="3">'General Information'!$1:$6</definedName>
    <definedName name="_xlnm.Print_Titles" localSheetId="4">'Indication Checklist'!$1:$6</definedName>
    <definedName name="_xlnm.Print_Titles" localSheetId="1">'READ ME'!$1:$4</definedName>
    <definedName name="Rate_Rev_Freq">'Drop Down Lists and Formatting'!$A$3:$A$15</definedName>
    <definedName name="Yes_No" localSheetId="28">#REF!</definedName>
    <definedName name="Yes_No">'Drop Down Lists and Formatting'!$A$44:$A$45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20" l="1"/>
  <c r="A36" i="47"/>
  <c r="E12" i="47"/>
  <c r="B49" i="15"/>
  <c r="C52" i="15"/>
  <c r="C51" i="15"/>
  <c r="B17" i="29"/>
  <c r="C50" i="15"/>
  <c r="B16" i="29"/>
  <c r="D12" i="29"/>
  <c r="J66" i="10"/>
  <c r="K66" i="10"/>
  <c r="A3" i="44"/>
  <c r="A2" i="44"/>
  <c r="A1" i="44"/>
  <c r="A3" i="18"/>
  <c r="A2" i="18"/>
  <c r="A1" i="18"/>
  <c r="A3" i="31"/>
  <c r="A2" i="31"/>
  <c r="A1" i="31"/>
  <c r="A3" i="51"/>
  <c r="A2" i="51"/>
  <c r="A1" i="51"/>
  <c r="A3" i="38"/>
  <c r="A2" i="38"/>
  <c r="A1" i="38"/>
  <c r="A3" i="37"/>
  <c r="A2" i="37"/>
  <c r="A1" i="37"/>
  <c r="A3" i="29"/>
  <c r="A2" i="29"/>
  <c r="A1" i="29"/>
  <c r="A1" i="15"/>
  <c r="A2" i="15"/>
  <c r="A3" i="15"/>
  <c r="A3" i="14"/>
  <c r="A2" i="14"/>
  <c r="A1" i="14"/>
  <c r="A3" i="24"/>
  <c r="A2" i="24"/>
  <c r="A1" i="24"/>
  <c r="A3" i="45"/>
  <c r="A2" i="45"/>
  <c r="A1" i="45"/>
  <c r="A3" i="10"/>
  <c r="A2" i="10"/>
  <c r="A1" i="10"/>
  <c r="A3" i="23"/>
  <c r="A2" i="23"/>
  <c r="A1" i="23"/>
  <c r="A1" i="5"/>
  <c r="A2" i="5"/>
  <c r="A3" i="5"/>
  <c r="A1" i="11"/>
  <c r="A2" i="11"/>
  <c r="A3" i="11"/>
  <c r="C3" i="4"/>
  <c r="C2" i="4"/>
  <c r="C1" i="4"/>
  <c r="B1" i="3"/>
  <c r="B2" i="3"/>
  <c r="B3" i="3"/>
  <c r="A3" i="12"/>
  <c r="A2" i="12"/>
  <c r="A1" i="12"/>
  <c r="B3" i="6"/>
  <c r="B2" i="6"/>
  <c r="B1" i="6"/>
  <c r="A3" i="47"/>
  <c r="A2" i="47"/>
  <c r="A1" i="47"/>
  <c r="A10" i="1"/>
  <c r="A3" i="13"/>
  <c r="A2" i="13"/>
  <c r="A1" i="13"/>
  <c r="C8" i="13"/>
  <c r="D8" i="13" s="1"/>
  <c r="E8" i="13" s="1"/>
  <c r="B16" i="13" s="1"/>
  <c r="C16" i="13" s="1"/>
  <c r="A3" i="1"/>
  <c r="A2" i="1"/>
  <c r="A1" i="1"/>
  <c r="A3" i="50"/>
  <c r="A2" i="50"/>
  <c r="A1" i="50"/>
  <c r="A3" i="16"/>
  <c r="A2" i="16"/>
  <c r="A1" i="16"/>
  <c r="A3" i="21"/>
  <c r="A2" i="21"/>
  <c r="A1" i="21"/>
  <c r="A3" i="19"/>
  <c r="A2" i="19"/>
  <c r="A1" i="19"/>
  <c r="A1" i="20"/>
  <c r="A2" i="20"/>
  <c r="A3" i="20"/>
  <c r="E2" i="25"/>
  <c r="D2" i="44" s="1"/>
  <c r="E3" i="25"/>
  <c r="D3" i="44" s="1"/>
  <c r="E9" i="47"/>
  <c r="J19" i="31"/>
  <c r="K19" i="31"/>
  <c r="L19" i="31"/>
  <c r="M19" i="31"/>
  <c r="J20" i="31"/>
  <c r="K20" i="31"/>
  <c r="L20" i="31"/>
  <c r="M20" i="31"/>
  <c r="B10" i="51"/>
  <c r="B24" i="14"/>
  <c r="D13" i="51"/>
  <c r="F2" i="42" l="1"/>
  <c r="F3" i="42"/>
  <c r="A7" i="42" s="1"/>
  <c r="F3" i="20"/>
  <c r="G3" i="31"/>
  <c r="I3" i="5"/>
  <c r="H3" i="6"/>
  <c r="G3" i="15"/>
  <c r="F3" i="43"/>
  <c r="J3" i="50"/>
  <c r="H3" i="18"/>
  <c r="F3" i="12"/>
  <c r="F3" i="29"/>
  <c r="J3" i="10"/>
  <c r="K3" i="1"/>
  <c r="F3" i="37"/>
  <c r="E3" i="45"/>
  <c r="F3" i="19"/>
  <c r="O3" i="4"/>
  <c r="E3" i="21"/>
  <c r="F3" i="16"/>
  <c r="E3" i="24"/>
  <c r="E3" i="51"/>
  <c r="G3" i="47"/>
  <c r="J2" i="10"/>
  <c r="F2" i="16"/>
  <c r="G2" i="15"/>
  <c r="E2" i="21"/>
  <c r="O2" i="4"/>
  <c r="H2" i="18"/>
  <c r="F2" i="43"/>
  <c r="F2" i="37"/>
  <c r="G2" i="47"/>
  <c r="E2" i="24"/>
  <c r="J2" i="50"/>
  <c r="G2" i="11"/>
  <c r="I2" i="5"/>
  <c r="E2" i="51"/>
  <c r="F2" i="12"/>
  <c r="F2" i="19"/>
  <c r="K2" i="1"/>
  <c r="H2" i="6"/>
  <c r="G3" i="11"/>
  <c r="E2" i="45"/>
  <c r="F2" i="29"/>
  <c r="G2" i="31"/>
  <c r="E2" i="13"/>
  <c r="E3" i="13"/>
  <c r="H2" i="3"/>
  <c r="I2" i="23"/>
  <c r="F2" i="14"/>
  <c r="G2" i="38"/>
  <c r="H3" i="3"/>
  <c r="I3" i="23"/>
  <c r="F3" i="14"/>
  <c r="G3" i="38"/>
  <c r="N19" i="31"/>
  <c r="O19" i="31"/>
  <c r="N20" i="31"/>
  <c r="O20" i="31" s="1"/>
  <c r="E12" i="29"/>
  <c r="B58" i="21"/>
  <c r="A41" i="51"/>
  <c r="D11" i="51"/>
  <c r="K27" i="1" s="1"/>
  <c r="A9" i="51"/>
  <c r="A42" i="51" s="1"/>
  <c r="A10" i="51" l="1"/>
  <c r="A11" i="51" l="1"/>
  <c r="A43" i="51"/>
  <c r="A12" i="51" l="1"/>
  <c r="A44" i="51"/>
  <c r="A45" i="51" l="1"/>
  <c r="A13" i="51"/>
  <c r="A46" i="51" l="1"/>
  <c r="A14" i="51"/>
  <c r="A47" i="51" l="1"/>
  <c r="A15" i="51"/>
  <c r="A48" i="51" l="1"/>
  <c r="A17" i="51"/>
  <c r="A23" i="51" s="1"/>
  <c r="A28" i="51" s="1"/>
  <c r="A34" i="51" s="1"/>
  <c r="D30" i="20" l="1"/>
  <c r="H14" i="6"/>
  <c r="H13" i="6"/>
  <c r="G10" i="6"/>
  <c r="G13" i="6"/>
  <c r="E31" i="50"/>
  <c r="E32" i="50" s="1"/>
  <c r="D12" i="15"/>
  <c r="E12" i="15"/>
  <c r="F12" i="15"/>
  <c r="D11" i="15"/>
  <c r="F30" i="20" l="1"/>
  <c r="D32" i="20"/>
  <c r="G12" i="15"/>
  <c r="G42" i="15"/>
  <c r="F41" i="15"/>
  <c r="E41" i="15"/>
  <c r="D41" i="15"/>
  <c r="F32" i="15"/>
  <c r="E32" i="15"/>
  <c r="D32" i="15"/>
  <c r="F23" i="15"/>
  <c r="F24" i="15"/>
  <c r="E24" i="15"/>
  <c r="E23" i="15"/>
  <c r="D24" i="15"/>
  <c r="D23" i="15"/>
  <c r="F11" i="15"/>
  <c r="E11" i="15"/>
  <c r="D19" i="14"/>
  <c r="D18" i="14"/>
  <c r="D17" i="14"/>
  <c r="C19" i="14"/>
  <c r="C18" i="14"/>
  <c r="C17" i="14"/>
  <c r="F12" i="14"/>
  <c r="F11" i="14"/>
  <c r="F10" i="14"/>
  <c r="D12" i="14"/>
  <c r="D11" i="14"/>
  <c r="D10" i="14"/>
  <c r="C12" i="14"/>
  <c r="C11" i="14"/>
  <c r="C10" i="14"/>
  <c r="C36" i="45"/>
  <c r="D36" i="45"/>
  <c r="D35" i="45"/>
  <c r="D34" i="45"/>
  <c r="J15" i="50"/>
  <c r="F22" i="16"/>
  <c r="A58" i="21"/>
  <c r="F32" i="20" l="1"/>
  <c r="E10" i="14"/>
  <c r="G11" i="15"/>
  <c r="H54" i="15"/>
  <c r="C66" i="10"/>
  <c r="C35" i="45"/>
  <c r="C34" i="45"/>
  <c r="E30" i="45"/>
  <c r="E29" i="45"/>
  <c r="E28" i="45"/>
  <c r="E27" i="45"/>
  <c r="E26" i="45"/>
  <c r="E25" i="45"/>
  <c r="E24" i="45"/>
  <c r="E23" i="45"/>
  <c r="E22" i="45"/>
  <c r="E21" i="45"/>
  <c r="E20" i="45"/>
  <c r="E19" i="45"/>
  <c r="E18" i="45"/>
  <c r="E17" i="45"/>
  <c r="E16" i="45"/>
  <c r="E15" i="45"/>
  <c r="E14" i="45"/>
  <c r="E13" i="45"/>
  <c r="E12" i="45"/>
  <c r="E11" i="45"/>
  <c r="A82" i="45"/>
  <c r="A82" i="24"/>
  <c r="E10" i="50" l="1"/>
  <c r="D35" i="15" s="1"/>
  <c r="J36" i="50" l="1"/>
  <c r="H36" i="50"/>
  <c r="F36" i="50"/>
  <c r="J35" i="50"/>
  <c r="H35" i="50"/>
  <c r="F35" i="50"/>
  <c r="H15" i="50"/>
  <c r="F15" i="50"/>
  <c r="E22" i="50"/>
  <c r="B52" i="50"/>
  <c r="B71" i="50" s="1"/>
  <c r="A47" i="50"/>
  <c r="A48" i="50" s="1"/>
  <c r="A49" i="50" s="1"/>
  <c r="A50" i="50" s="1"/>
  <c r="A51" i="50" s="1"/>
  <c r="A52" i="50" s="1"/>
  <c r="A53" i="50" s="1"/>
  <c r="A54" i="50" s="1"/>
  <c r="A55" i="50" s="1"/>
  <c r="A56" i="50" s="1"/>
  <c r="A59" i="50" s="1"/>
  <c r="A70" i="50" s="1"/>
  <c r="A71" i="50" s="1"/>
  <c r="A72" i="50" s="1"/>
  <c r="I31" i="50"/>
  <c r="G31" i="50"/>
  <c r="I22" i="50"/>
  <c r="G22" i="50"/>
  <c r="I18" i="50"/>
  <c r="F15" i="15" s="1"/>
  <c r="G18" i="50"/>
  <c r="E15" i="15" s="1"/>
  <c r="E18" i="50"/>
  <c r="D15" i="15" s="1"/>
  <c r="E33" i="50" s="1"/>
  <c r="I17" i="50"/>
  <c r="F26" i="15" s="1"/>
  <c r="G17" i="50"/>
  <c r="E26" i="15" s="1"/>
  <c r="E17" i="50"/>
  <c r="C15" i="50"/>
  <c r="C35" i="50" s="1"/>
  <c r="C14" i="50"/>
  <c r="C34" i="50" s="1"/>
  <c r="I11" i="50"/>
  <c r="G11" i="50"/>
  <c r="E11" i="50"/>
  <c r="B11" i="50"/>
  <c r="B12" i="50" s="1"/>
  <c r="B13" i="50" s="1"/>
  <c r="B14" i="50" s="1"/>
  <c r="B15" i="50" s="1"/>
  <c r="B17" i="50" s="1"/>
  <c r="B18" i="50" s="1"/>
  <c r="B19" i="50" s="1"/>
  <c r="B20" i="50" s="1"/>
  <c r="B23" i="50" s="1"/>
  <c r="B34" i="50" s="1"/>
  <c r="B35" i="50" s="1"/>
  <c r="B36" i="50" s="1"/>
  <c r="I10" i="50"/>
  <c r="F35" i="15" s="1"/>
  <c r="G10" i="50"/>
  <c r="E35" i="15" s="1"/>
  <c r="C37" i="24"/>
  <c r="D35" i="24"/>
  <c r="D36" i="24"/>
  <c r="B18" i="12"/>
  <c r="H33" i="6"/>
  <c r="H32" i="6"/>
  <c r="H30" i="6"/>
  <c r="H28" i="6"/>
  <c r="H25" i="6"/>
  <c r="H27" i="6"/>
  <c r="H26" i="6"/>
  <c r="H24" i="6"/>
  <c r="H23" i="6"/>
  <c r="H22" i="6"/>
  <c r="H21" i="6"/>
  <c r="H20" i="6"/>
  <c r="H19" i="6"/>
  <c r="H18" i="6"/>
  <c r="H17" i="6"/>
  <c r="H16" i="6"/>
  <c r="H15" i="6"/>
  <c r="J15" i="48"/>
  <c r="J16" i="48"/>
  <c r="J17" i="48"/>
  <c r="J14" i="48"/>
  <c r="J11" i="48"/>
  <c r="J12" i="48"/>
  <c r="J10" i="48"/>
  <c r="D26" i="15" l="1"/>
  <c r="F24" i="50"/>
  <c r="K15" i="50"/>
  <c r="K36" i="50"/>
  <c r="I32" i="50"/>
  <c r="J32" i="50" s="1"/>
  <c r="F13" i="15"/>
  <c r="F14" i="15" s="1"/>
  <c r="K35" i="50"/>
  <c r="F32" i="50"/>
  <c r="D13" i="15"/>
  <c r="D14" i="15" s="1"/>
  <c r="D16" i="15" s="1"/>
  <c r="D18" i="15" s="1"/>
  <c r="G32" i="50"/>
  <c r="H32" i="50" s="1"/>
  <c r="E13" i="15"/>
  <c r="E14" i="15" s="1"/>
  <c r="G17" i="15"/>
  <c r="G15" i="15"/>
  <c r="J11" i="50"/>
  <c r="F26" i="50"/>
  <c r="F27" i="50"/>
  <c r="F29" i="50"/>
  <c r="F25" i="50"/>
  <c r="F28" i="50"/>
  <c r="F30" i="50"/>
  <c r="H27" i="50"/>
  <c r="H28" i="50"/>
  <c r="H25" i="50"/>
  <c r="H26" i="50"/>
  <c r="H29" i="50"/>
  <c r="H30" i="50"/>
  <c r="J25" i="50"/>
  <c r="J30" i="50"/>
  <c r="J26" i="50"/>
  <c r="J27" i="50"/>
  <c r="J29" i="50"/>
  <c r="J28" i="50"/>
  <c r="F23" i="50"/>
  <c r="F22" i="50"/>
  <c r="F19" i="50"/>
  <c r="H31" i="50"/>
  <c r="H24" i="50"/>
  <c r="H22" i="50"/>
  <c r="J31" i="50"/>
  <c r="J24" i="50"/>
  <c r="J22" i="50"/>
  <c r="F31" i="50"/>
  <c r="H19" i="50"/>
  <c r="H23" i="50"/>
  <c r="J19" i="50"/>
  <c r="J23" i="50"/>
  <c r="F18" i="50"/>
  <c r="H18" i="50"/>
  <c r="J18" i="50"/>
  <c r="J13" i="50"/>
  <c r="J12" i="50"/>
  <c r="H13" i="50"/>
  <c r="H12" i="50"/>
  <c r="H11" i="50"/>
  <c r="F11" i="50"/>
  <c r="F12" i="50"/>
  <c r="F13" i="50"/>
  <c r="A20" i="25"/>
  <c r="B50" i="14"/>
  <c r="B49" i="14"/>
  <c r="B43" i="14"/>
  <c r="B42" i="14"/>
  <c r="B27" i="14"/>
  <c r="E16" i="14"/>
  <c r="D16" i="14"/>
  <c r="C16" i="14"/>
  <c r="E9" i="14"/>
  <c r="D9" i="14"/>
  <c r="C9" i="14"/>
  <c r="D10" i="24"/>
  <c r="C10" i="24"/>
  <c r="D10" i="45"/>
  <c r="C10" i="45"/>
  <c r="B10" i="10"/>
  <c r="E8" i="3"/>
  <c r="D8" i="3"/>
  <c r="K22" i="1"/>
  <c r="G22" i="1"/>
  <c r="G20" i="1"/>
  <c r="G19" i="1"/>
  <c r="K10" i="1"/>
  <c r="J10" i="1"/>
  <c r="F10" i="1"/>
  <c r="K25" i="50" l="1"/>
  <c r="K30" i="50"/>
  <c r="K27" i="50"/>
  <c r="K26" i="50"/>
  <c r="K13" i="50"/>
  <c r="K12" i="50"/>
  <c r="K19" i="50"/>
  <c r="K28" i="50"/>
  <c r="K11" i="50"/>
  <c r="K22" i="50"/>
  <c r="K29" i="50"/>
  <c r="K18" i="50"/>
  <c r="K32" i="50"/>
  <c r="K23" i="50"/>
  <c r="K24" i="50"/>
  <c r="D22" i="47"/>
  <c r="B55" i="1"/>
  <c r="E55" i="1"/>
  <c r="E30" i="20" l="1"/>
  <c r="J2" i="48" l="1"/>
  <c r="J3" i="48"/>
  <c r="J4" i="48"/>
  <c r="J5" i="48"/>
  <c r="J6" i="48"/>
  <c r="J7" i="48"/>
  <c r="J8" i="48"/>
  <c r="J9" i="48"/>
  <c r="B9" i="16" l="1"/>
  <c r="A50" i="13"/>
  <c r="A51" i="13" s="1"/>
  <c r="A52" i="13" s="1"/>
  <c r="A53" i="13" s="1"/>
  <c r="A54" i="13" s="1"/>
  <c r="B11" i="11" l="1"/>
  <c r="A34" i="47"/>
  <c r="A35" i="47" s="1"/>
  <c r="A37" i="47" s="1"/>
  <c r="A38" i="47" s="1"/>
  <c r="A39" i="47" s="1"/>
  <c r="A40" i="47" s="1"/>
  <c r="C17" i="11"/>
  <c r="A12" i="12"/>
  <c r="C21" i="47"/>
  <c r="C20" i="47" s="1"/>
  <c r="C15" i="11" s="1"/>
  <c r="A10" i="47"/>
  <c r="A11" i="47" s="1"/>
  <c r="A12" i="47" s="1"/>
  <c r="A13" i="47" s="1"/>
  <c r="B16" i="47" s="1"/>
  <c r="C16" i="47" s="1"/>
  <c r="D16" i="47" s="1"/>
  <c r="A25" i="47" s="1"/>
  <c r="B17" i="47"/>
  <c r="I15" i="1"/>
  <c r="I14" i="1"/>
  <c r="I13" i="1"/>
  <c r="I12" i="1"/>
  <c r="I11" i="1"/>
  <c r="B16" i="12" l="1"/>
  <c r="B17" i="12"/>
  <c r="C16" i="11"/>
  <c r="C19" i="47"/>
  <c r="D18" i="12" l="1"/>
  <c r="E17" i="11"/>
  <c r="D21" i="47"/>
  <c r="D20" i="47" s="1"/>
  <c r="C14" i="11"/>
  <c r="B15" i="12"/>
  <c r="C18" i="47"/>
  <c r="D16" i="12" l="1"/>
  <c r="E15" i="11"/>
  <c r="D17" i="12"/>
  <c r="E16" i="11"/>
  <c r="B14" i="12"/>
  <c r="C13" i="11"/>
  <c r="D19" i="47"/>
  <c r="D18" i="47" s="1"/>
  <c r="D15" i="12" l="1"/>
  <c r="E14" i="11"/>
  <c r="D14" i="12" l="1"/>
  <c r="E13" i="11"/>
  <c r="D31" i="45" l="1"/>
  <c r="C31" i="45"/>
  <c r="B30" i="45"/>
  <c r="B29" i="45" s="1"/>
  <c r="B28" i="45" s="1"/>
  <c r="B27" i="45" s="1"/>
  <c r="B26" i="45" s="1"/>
  <c r="B25" i="45" s="1"/>
  <c r="B24" i="45" s="1"/>
  <c r="B23" i="45" s="1"/>
  <c r="B22" i="45" s="1"/>
  <c r="B21" i="45" s="1"/>
  <c r="B20" i="45" s="1"/>
  <c r="B19" i="45" s="1"/>
  <c r="B18" i="45" s="1"/>
  <c r="B17" i="45" s="1"/>
  <c r="B16" i="45" s="1"/>
  <c r="B15" i="45" s="1"/>
  <c r="B14" i="45" s="1"/>
  <c r="B13" i="45" s="1"/>
  <c r="B12" i="45" s="1"/>
  <c r="B11" i="45" s="1"/>
  <c r="D9" i="45"/>
  <c r="E9" i="45" l="1"/>
  <c r="A83" i="45"/>
  <c r="E31" i="45"/>
  <c r="A10" i="43"/>
  <c r="A11" i="43" s="1"/>
  <c r="A12" i="43" s="1"/>
  <c r="A13" i="43" s="1"/>
  <c r="A14" i="43" s="1"/>
  <c r="A15" i="43" s="1"/>
  <c r="A16" i="43" s="1"/>
  <c r="A17" i="43" s="1"/>
  <c r="A18" i="43" s="1"/>
  <c r="A19" i="43" s="1"/>
  <c r="A20" i="43" s="1"/>
  <c r="A21" i="43" s="1"/>
  <c r="A84" i="45" l="1"/>
  <c r="A38" i="45"/>
  <c r="A47" i="45" s="1"/>
  <c r="A50" i="45" s="1"/>
  <c r="A22" i="43"/>
  <c r="A23" i="43" s="1"/>
  <c r="A24" i="43" s="1"/>
  <c r="A25" i="43" s="1"/>
  <c r="A26" i="43" s="1"/>
  <c r="A27" i="43" s="1"/>
  <c r="A28" i="43" s="1"/>
  <c r="A29" i="43" s="1"/>
  <c r="A30" i="43" s="1"/>
  <c r="A31" i="43" s="1"/>
  <c r="A59" i="45" l="1"/>
  <c r="A68" i="45" s="1"/>
  <c r="A73" i="45" s="1"/>
  <c r="A33" i="43"/>
  <c r="A34" i="43" s="1"/>
  <c r="A35" i="43" s="1"/>
  <c r="A36" i="43" s="1"/>
  <c r="A37" i="43" s="1"/>
  <c r="A38" i="43" s="1"/>
  <c r="A39" i="43" s="1"/>
  <c r="A41" i="43" s="1"/>
  <c r="A42" i="43" s="1"/>
  <c r="A43" i="43" l="1"/>
  <c r="A44" i="43" s="1"/>
  <c r="A45" i="43" s="1"/>
  <c r="A46" i="43" s="1"/>
  <c r="A47" i="43" s="1"/>
  <c r="A48" i="43" s="1"/>
  <c r="A49" i="43" s="1"/>
  <c r="A50" i="43" s="1"/>
  <c r="A52" i="43" s="1"/>
  <c r="J13" i="31"/>
  <c r="J14" i="31"/>
  <c r="J15" i="31"/>
  <c r="J16" i="31"/>
  <c r="J17" i="31"/>
  <c r="J18" i="31"/>
  <c r="J12" i="31"/>
  <c r="E67" i="23"/>
  <c r="C36" i="24"/>
  <c r="C35" i="24"/>
  <c r="E30" i="24"/>
  <c r="D31" i="24"/>
  <c r="C31" i="24"/>
  <c r="B30" i="24"/>
  <c r="B52" i="24"/>
  <c r="D13" i="29"/>
  <c r="D67" i="23"/>
  <c r="B15" i="29"/>
  <c r="B13" i="29"/>
  <c r="B12" i="29"/>
  <c r="H55" i="15"/>
  <c r="J21" i="31" l="1"/>
  <c r="E31" i="24"/>
  <c r="H56" i="15"/>
  <c r="B48" i="14" l="1"/>
  <c r="I66" i="10" l="1"/>
  <c r="H66" i="10" s="1"/>
  <c r="G66" i="10" s="1"/>
  <c r="G11" i="1" s="1"/>
  <c r="E11" i="24"/>
  <c r="E12" i="24"/>
  <c r="E13" i="24"/>
  <c r="E14" i="24"/>
  <c r="E15" i="24"/>
  <c r="E16" i="24"/>
  <c r="E17" i="24"/>
  <c r="E18" i="24"/>
  <c r="E19" i="24"/>
  <c r="E20" i="24"/>
  <c r="E21" i="24"/>
  <c r="E22" i="24"/>
  <c r="E23" i="24"/>
  <c r="E24" i="24"/>
  <c r="E25" i="24"/>
  <c r="E26" i="24"/>
  <c r="E27" i="24"/>
  <c r="E28" i="24"/>
  <c r="E29" i="24"/>
  <c r="B29" i="24"/>
  <c r="B28" i="24" s="1"/>
  <c r="B27" i="24" s="1"/>
  <c r="B26" i="24" s="1"/>
  <c r="B25" i="24" s="1"/>
  <c r="B24" i="24" s="1"/>
  <c r="B23" i="24" s="1"/>
  <c r="B22" i="24" s="1"/>
  <c r="B21" i="24" s="1"/>
  <c r="B20" i="24" s="1"/>
  <c r="B19" i="24" s="1"/>
  <c r="B18" i="24" s="1"/>
  <c r="B17" i="24" s="1"/>
  <c r="B16" i="24" s="1"/>
  <c r="B15" i="24" s="1"/>
  <c r="B14" i="24" s="1"/>
  <c r="B13" i="24" s="1"/>
  <c r="B12" i="24" s="1"/>
  <c r="B11" i="24" s="1"/>
  <c r="A15" i="16"/>
  <c r="F9" i="15" s="1"/>
  <c r="A14" i="16" l="1"/>
  <c r="I8" i="50"/>
  <c r="D37" i="24"/>
  <c r="B51" i="24"/>
  <c r="F66" i="10"/>
  <c r="G12" i="1" s="1"/>
  <c r="D9" i="24"/>
  <c r="A83" i="24" s="1"/>
  <c r="B13" i="23"/>
  <c r="I67" i="23"/>
  <c r="B49" i="29"/>
  <c r="A7" i="10"/>
  <c r="A11" i="10"/>
  <c r="B58" i="23"/>
  <c r="G8" i="50" l="1"/>
  <c r="E9" i="15"/>
  <c r="E66" i="10"/>
  <c r="G13" i="1" s="1"/>
  <c r="E9" i="24"/>
  <c r="F59" i="23"/>
  <c r="F60" i="23"/>
  <c r="F61" i="23"/>
  <c r="G61" i="23" s="1"/>
  <c r="F62" i="23"/>
  <c r="F63" i="23"/>
  <c r="F64" i="23"/>
  <c r="F65" i="23"/>
  <c r="F66" i="23"/>
  <c r="B59" i="23"/>
  <c r="B60" i="23"/>
  <c r="B61" i="23"/>
  <c r="B62" i="23"/>
  <c r="B63" i="23"/>
  <c r="B64" i="23"/>
  <c r="B65" i="23"/>
  <c r="B66" i="23"/>
  <c r="D53" i="21"/>
  <c r="D30" i="21"/>
  <c r="C40" i="25"/>
  <c r="C39" i="25"/>
  <c r="M13" i="31"/>
  <c r="M14" i="31"/>
  <c r="M15" i="31"/>
  <c r="M16" i="31"/>
  <c r="M17" i="31"/>
  <c r="M18" i="31"/>
  <c r="M12" i="31"/>
  <c r="L13" i="31"/>
  <c r="L14" i="31"/>
  <c r="L15" i="31"/>
  <c r="L16" i="31"/>
  <c r="L17" i="31"/>
  <c r="L18" i="31"/>
  <c r="L12" i="31"/>
  <c r="K12" i="31"/>
  <c r="K13" i="31"/>
  <c r="K14" i="31"/>
  <c r="K15" i="31"/>
  <c r="K16" i="31"/>
  <c r="K17" i="31"/>
  <c r="K18" i="31"/>
  <c r="C9" i="12"/>
  <c r="C8" i="12"/>
  <c r="B12" i="10"/>
  <c r="C12" i="10" s="1"/>
  <c r="D12" i="10" s="1"/>
  <c r="E12" i="10" s="1"/>
  <c r="F12" i="10" s="1"/>
  <c r="G12" i="10" s="1"/>
  <c r="H12" i="10" s="1"/>
  <c r="I12" i="10" s="1"/>
  <c r="J12" i="10" s="1"/>
  <c r="K12" i="10" s="1"/>
  <c r="B14" i="18"/>
  <c r="B19" i="18"/>
  <c r="B18" i="18"/>
  <c r="B17" i="18"/>
  <c r="B16" i="18"/>
  <c r="B15" i="18"/>
  <c r="A41" i="14"/>
  <c r="H67" i="23"/>
  <c r="M21" i="31" l="1"/>
  <c r="L21" i="31"/>
  <c r="A39" i="24"/>
  <c r="A47" i="24" s="1"/>
  <c r="A51" i="24" s="1"/>
  <c r="A54" i="24" s="1"/>
  <c r="A61" i="24" s="1"/>
  <c r="A68" i="24" s="1"/>
  <c r="A73" i="24" s="1"/>
  <c r="A84" i="24"/>
  <c r="D66" i="10"/>
  <c r="G14" i="1" s="1"/>
  <c r="N12" i="31"/>
  <c r="O12" i="31" s="1"/>
  <c r="N13" i="31"/>
  <c r="O13" i="31" s="1"/>
  <c r="B12" i="14"/>
  <c r="A28" i="31"/>
  <c r="A33" i="31" s="1"/>
  <c r="F23" i="16"/>
  <c r="F24" i="16"/>
  <c r="F25" i="16"/>
  <c r="F21" i="16"/>
  <c r="B35" i="25"/>
  <c r="F11" i="38"/>
  <c r="F12" i="38"/>
  <c r="F13" i="38"/>
  <c r="F14" i="38"/>
  <c r="F16" i="38"/>
  <c r="F18" i="38"/>
  <c r="F19" i="37"/>
  <c r="O14" i="4"/>
  <c r="O15" i="4"/>
  <c r="O16" i="4"/>
  <c r="O17" i="4"/>
  <c r="O18" i="4"/>
  <c r="O19" i="4"/>
  <c r="O20" i="4"/>
  <c r="O21" i="4"/>
  <c r="O22" i="4"/>
  <c r="O23" i="4"/>
  <c r="O24" i="4"/>
  <c r="O25" i="4"/>
  <c r="O26" i="4"/>
  <c r="O27" i="4"/>
  <c r="O28" i="4"/>
  <c r="O29" i="4"/>
  <c r="O30" i="4"/>
  <c r="O31" i="4"/>
  <c r="O32" i="4"/>
  <c r="O33" i="4"/>
  <c r="O13" i="4"/>
  <c r="N14" i="4"/>
  <c r="N15" i="4"/>
  <c r="N16" i="4"/>
  <c r="N17" i="4"/>
  <c r="N18" i="4"/>
  <c r="N19" i="4"/>
  <c r="N20" i="4"/>
  <c r="N21" i="4"/>
  <c r="N22" i="4"/>
  <c r="N23" i="4"/>
  <c r="N24" i="4"/>
  <c r="N25" i="4"/>
  <c r="N26" i="4"/>
  <c r="N27" i="4"/>
  <c r="N28" i="4"/>
  <c r="N29" i="4"/>
  <c r="N30" i="4"/>
  <c r="N31" i="4"/>
  <c r="N32" i="4"/>
  <c r="N33" i="4"/>
  <c r="N13" i="4"/>
  <c r="J11" i="4"/>
  <c r="J12" i="4"/>
  <c r="J13" i="4"/>
  <c r="J14" i="4"/>
  <c r="J15" i="4"/>
  <c r="J16" i="4"/>
  <c r="J17" i="4"/>
  <c r="J18" i="4"/>
  <c r="J19" i="4"/>
  <c r="J20" i="4"/>
  <c r="J21" i="4"/>
  <c r="J22" i="4"/>
  <c r="J23" i="4"/>
  <c r="J24" i="4"/>
  <c r="J25" i="4"/>
  <c r="J26" i="4"/>
  <c r="J27" i="4"/>
  <c r="J28" i="4"/>
  <c r="J29" i="4"/>
  <c r="J30" i="4"/>
  <c r="J31" i="4"/>
  <c r="J32" i="4"/>
  <c r="J33" i="4"/>
  <c r="J10" i="4"/>
  <c r="I11" i="4"/>
  <c r="I12" i="4"/>
  <c r="I13" i="4"/>
  <c r="K13" i="4" s="1"/>
  <c r="I14" i="4"/>
  <c r="K14" i="4" s="1"/>
  <c r="I15" i="4"/>
  <c r="K15" i="4" s="1"/>
  <c r="I16" i="4"/>
  <c r="K16" i="4" s="1"/>
  <c r="I17" i="4"/>
  <c r="K17" i="4" s="1"/>
  <c r="I18" i="4"/>
  <c r="K18" i="4" s="1"/>
  <c r="I19" i="4"/>
  <c r="I20" i="4"/>
  <c r="K20" i="4" s="1"/>
  <c r="I21" i="4"/>
  <c r="K21" i="4" s="1"/>
  <c r="I22" i="4"/>
  <c r="I23" i="4"/>
  <c r="K23" i="4" s="1"/>
  <c r="I24" i="4"/>
  <c r="K24" i="4" s="1"/>
  <c r="I25" i="4"/>
  <c r="K25" i="4" s="1"/>
  <c r="I26" i="4"/>
  <c r="I27" i="4"/>
  <c r="I28" i="4"/>
  <c r="I29" i="4"/>
  <c r="I30" i="4"/>
  <c r="K30" i="4" s="1"/>
  <c r="I31" i="4"/>
  <c r="I32" i="4"/>
  <c r="K32" i="4" s="1"/>
  <c r="I33" i="4"/>
  <c r="K33" i="4" s="1"/>
  <c r="I10" i="4"/>
  <c r="K10" i="4" s="1"/>
  <c r="A22" i="10"/>
  <c r="A21" i="10" s="1"/>
  <c r="A20" i="10" s="1"/>
  <c r="A19" i="10" s="1"/>
  <c r="A18" i="10" s="1"/>
  <c r="A17" i="10" s="1"/>
  <c r="A16" i="10" s="1"/>
  <c r="A15" i="10" s="1"/>
  <c r="A14" i="10" s="1"/>
  <c r="A13" i="10" s="1"/>
  <c r="H29" i="6"/>
  <c r="H31" i="6"/>
  <c r="G11" i="6"/>
  <c r="G12" i="6"/>
  <c r="G14" i="6"/>
  <c r="G15" i="6"/>
  <c r="G16" i="6"/>
  <c r="G17" i="6"/>
  <c r="G18" i="6"/>
  <c r="G19" i="6"/>
  <c r="G20" i="6"/>
  <c r="G21" i="6"/>
  <c r="G22" i="6"/>
  <c r="G23" i="6"/>
  <c r="G24" i="6"/>
  <c r="G25" i="6"/>
  <c r="G26" i="6"/>
  <c r="G27" i="6"/>
  <c r="G28" i="6"/>
  <c r="G29" i="6"/>
  <c r="G30" i="6"/>
  <c r="G31" i="6"/>
  <c r="G32" i="6"/>
  <c r="G33" i="6"/>
  <c r="B33" i="4"/>
  <c r="B88" i="3" s="1"/>
  <c r="K20" i="1"/>
  <c r="C12" i="1"/>
  <c r="C13" i="1"/>
  <c r="C14" i="1"/>
  <c r="C15" i="1"/>
  <c r="C11" i="1"/>
  <c r="A11" i="1"/>
  <c r="B18" i="47" s="1"/>
  <c r="A12" i="1"/>
  <c r="B19" i="47" s="1"/>
  <c r="A13" i="1"/>
  <c r="B20" i="47" s="1"/>
  <c r="A14" i="1"/>
  <c r="B21" i="47" s="1"/>
  <c r="A15" i="1"/>
  <c r="B22" i="47" s="1"/>
  <c r="B11" i="14"/>
  <c r="F12" i="16"/>
  <c r="F13" i="16"/>
  <c r="F14" i="16"/>
  <c r="F15" i="16"/>
  <c r="F11" i="16"/>
  <c r="D15" i="29"/>
  <c r="A13" i="12"/>
  <c r="B12" i="11" s="1"/>
  <c r="H50" i="15"/>
  <c r="F14" i="37"/>
  <c r="F15" i="38" s="1"/>
  <c r="K31" i="4" l="1"/>
  <c r="K11" i="4"/>
  <c r="K22" i="4"/>
  <c r="K28" i="4"/>
  <c r="K27" i="4"/>
  <c r="K26" i="4"/>
  <c r="K29" i="4"/>
  <c r="K12" i="4"/>
  <c r="A85" i="24"/>
  <c r="G15" i="1"/>
  <c r="A13" i="16"/>
  <c r="F17" i="38"/>
  <c r="F19" i="38" s="1"/>
  <c r="P33" i="4"/>
  <c r="P31" i="4"/>
  <c r="P29" i="4"/>
  <c r="P27" i="4"/>
  <c r="P25" i="4"/>
  <c r="P23" i="4"/>
  <c r="P21" i="4"/>
  <c r="P19" i="4"/>
  <c r="P17" i="4"/>
  <c r="P15" i="4"/>
  <c r="C33" i="4"/>
  <c r="P13" i="4"/>
  <c r="P32" i="4"/>
  <c r="P30" i="4"/>
  <c r="P28" i="4"/>
  <c r="P26" i="4"/>
  <c r="P24" i="4"/>
  <c r="P22" i="4"/>
  <c r="P20" i="4"/>
  <c r="P18" i="4"/>
  <c r="P16" i="4"/>
  <c r="P14" i="4"/>
  <c r="K19" i="4"/>
  <c r="A25" i="16"/>
  <c r="C8" i="3"/>
  <c r="A11" i="38"/>
  <c r="F11" i="37"/>
  <c r="F15" i="37" s="1"/>
  <c r="F24" i="37" s="1"/>
  <c r="A9" i="37"/>
  <c r="A41" i="37" s="1"/>
  <c r="E8" i="50" l="1"/>
  <c r="D9" i="15"/>
  <c r="B10" i="14"/>
  <c r="B17" i="14" s="1"/>
  <c r="A12" i="16"/>
  <c r="A11" i="16" s="1"/>
  <c r="B18" i="14"/>
  <c r="B19" i="14"/>
  <c r="A24" i="16"/>
  <c r="A27" i="38"/>
  <c r="A28" i="38" s="1"/>
  <c r="A29" i="38" s="1"/>
  <c r="A30" i="38" s="1"/>
  <c r="A31" i="38" s="1"/>
  <c r="A32" i="38" s="1"/>
  <c r="A33" i="38" s="1"/>
  <c r="A34" i="38" s="1"/>
  <c r="A35" i="38" s="1"/>
  <c r="A12" i="38"/>
  <c r="A13" i="38" s="1"/>
  <c r="A14" i="38" s="1"/>
  <c r="A15" i="38" s="1"/>
  <c r="A16" i="38" s="1"/>
  <c r="A17" i="38" s="1"/>
  <c r="A18" i="38" s="1"/>
  <c r="A19" i="38" s="1"/>
  <c r="A10" i="37"/>
  <c r="A23" i="16" l="1"/>
  <c r="A11" i="37"/>
  <c r="A42" i="37"/>
  <c r="N14" i="31"/>
  <c r="O14" i="31" s="1"/>
  <c r="N15" i="31"/>
  <c r="O15" i="31" s="1"/>
  <c r="N16" i="31"/>
  <c r="O16" i="31" s="1"/>
  <c r="N17" i="31"/>
  <c r="O17" i="31" s="1"/>
  <c r="N18" i="31"/>
  <c r="O18" i="31" s="1"/>
  <c r="A10" i="18"/>
  <c r="B12" i="18" s="1"/>
  <c r="A35" i="31"/>
  <c r="A40" i="31" s="1"/>
  <c r="A42" i="31" s="1"/>
  <c r="A47" i="31" s="1"/>
  <c r="H51" i="15"/>
  <c r="A10" i="29"/>
  <c r="A11" i="29" s="1"/>
  <c r="O21" i="31" l="1"/>
  <c r="A21" i="16"/>
  <c r="A22" i="16"/>
  <c r="A12" i="29"/>
  <c r="A13" i="29" s="1"/>
  <c r="A14" i="29" s="1"/>
  <c r="A15" i="29" s="1"/>
  <c r="A16" i="29" s="1"/>
  <c r="A17" i="29" s="1"/>
  <c r="A19" i="29" s="1"/>
  <c r="A25" i="29" s="1"/>
  <c r="A43" i="37"/>
  <c r="A44" i="37" s="1"/>
  <c r="A45" i="37" s="1"/>
  <c r="A46" i="37" s="1"/>
  <c r="A47" i="37" s="1"/>
  <c r="A48" i="37" s="1"/>
  <c r="A49" i="37" s="1"/>
  <c r="C41" i="37" s="1"/>
  <c r="C42" i="37" s="1"/>
  <c r="C43" i="37" s="1"/>
  <c r="C44" i="37" s="1"/>
  <c r="C45" i="37" s="1"/>
  <c r="C46" i="37" s="1"/>
  <c r="C47" i="37" s="1"/>
  <c r="C48" i="37" s="1"/>
  <c r="C49" i="37" s="1"/>
  <c r="A12" i="37"/>
  <c r="A13" i="37" s="1"/>
  <c r="A14" i="37" s="1"/>
  <c r="A15" i="37" s="1"/>
  <c r="A16" i="37" s="1"/>
  <c r="A17" i="37" s="1"/>
  <c r="A18" i="37" s="1"/>
  <c r="A19" i="37" s="1"/>
  <c r="A20" i="37" s="1"/>
  <c r="A21" i="37" s="1"/>
  <c r="A22" i="37" s="1"/>
  <c r="A23" i="37" s="1"/>
  <c r="A24" i="37" s="1"/>
  <c r="A26" i="37" s="1"/>
  <c r="A27" i="37" s="1"/>
  <c r="A30" i="37" s="1"/>
  <c r="A35" i="37" s="1"/>
  <c r="A29" i="29" l="1"/>
  <c r="A37" i="29" s="1"/>
  <c r="A41" i="29" s="1"/>
  <c r="B53" i="3"/>
  <c r="B54" i="3" s="1"/>
  <c r="B55" i="3" s="1"/>
  <c r="B56" i="3" s="1"/>
  <c r="D7" i="3"/>
  <c r="E7" i="3" s="1"/>
  <c r="B22" i="3" s="1"/>
  <c r="B23" i="3" s="1"/>
  <c r="E17" i="14" l="1"/>
  <c r="E19" i="14"/>
  <c r="E18" i="14"/>
  <c r="D20" i="14"/>
  <c r="C20" i="14"/>
  <c r="E20" i="14" l="1"/>
  <c r="L46" i="4"/>
  <c r="E7" i="4"/>
  <c r="F7" i="4" s="1"/>
  <c r="H9" i="4"/>
  <c r="M9" i="4" s="1"/>
  <c r="F9" i="6"/>
  <c r="D39" i="10"/>
  <c r="D38" i="10"/>
  <c r="E38" i="10"/>
  <c r="D37" i="10"/>
  <c r="E37" i="10"/>
  <c r="F37" i="10"/>
  <c r="D36" i="10"/>
  <c r="E36" i="10"/>
  <c r="F36" i="10"/>
  <c r="G36" i="10"/>
  <c r="D35" i="10"/>
  <c r="E35" i="10"/>
  <c r="F35" i="10"/>
  <c r="G35" i="10"/>
  <c r="H35" i="10"/>
  <c r="D34" i="10"/>
  <c r="E34" i="10"/>
  <c r="F34" i="10"/>
  <c r="G34" i="10"/>
  <c r="H34" i="10"/>
  <c r="I34" i="10"/>
  <c r="D33" i="10"/>
  <c r="E33" i="10"/>
  <c r="F33" i="10"/>
  <c r="G33" i="10"/>
  <c r="H33" i="10"/>
  <c r="I33" i="10"/>
  <c r="J33" i="10"/>
  <c r="E32" i="10"/>
  <c r="F32" i="10"/>
  <c r="G32" i="10"/>
  <c r="H32" i="10"/>
  <c r="I32" i="10"/>
  <c r="J32" i="10"/>
  <c r="J57" i="10" s="1"/>
  <c r="K32" i="10"/>
  <c r="K57" i="10" s="1"/>
  <c r="D32" i="10"/>
  <c r="C33" i="10"/>
  <c r="C34" i="10"/>
  <c r="C35" i="10"/>
  <c r="C36" i="10"/>
  <c r="C37" i="10"/>
  <c r="C38" i="10"/>
  <c r="C39" i="10"/>
  <c r="C40" i="10"/>
  <c r="C32" i="10"/>
  <c r="F39" i="6"/>
  <c r="D7" i="6"/>
  <c r="B9" i="13"/>
  <c r="H21" i="15"/>
  <c r="H20" i="15"/>
  <c r="C26" i="18"/>
  <c r="C12" i="18"/>
  <c r="D12" i="18" s="1"/>
  <c r="E12" i="18" s="1"/>
  <c r="D111" i="15"/>
  <c r="D112" i="15" s="1"/>
  <c r="D56" i="10" l="1"/>
  <c r="C57" i="10"/>
  <c r="C56" i="10"/>
  <c r="C55" i="10"/>
  <c r="C54" i="10"/>
  <c r="C53" i="10"/>
  <c r="C52" i="10"/>
  <c r="C50" i="10"/>
  <c r="H57" i="10"/>
  <c r="D57" i="10"/>
  <c r="F57" i="10"/>
  <c r="I57" i="10"/>
  <c r="D13" i="14"/>
  <c r="G57" i="10"/>
  <c r="E57" i="10"/>
  <c r="A39" i="1"/>
  <c r="A40" i="1" s="1"/>
  <c r="A41" i="1" s="1"/>
  <c r="A42" i="1" s="1"/>
  <c r="H59" i="15"/>
  <c r="H58" i="15"/>
  <c r="E12" i="14"/>
  <c r="E11" i="14"/>
  <c r="E13" i="14" s="1"/>
  <c r="B47" i="25"/>
  <c r="B46" i="25"/>
  <c r="B43" i="25"/>
  <c r="G33" i="50"/>
  <c r="H33" i="50" s="1"/>
  <c r="F33" i="50" l="1"/>
  <c r="I33" i="50"/>
  <c r="J33" i="50" s="1"/>
  <c r="G10" i="14"/>
  <c r="G12" i="14"/>
  <c r="G11" i="14"/>
  <c r="F13" i="14"/>
  <c r="H60" i="15"/>
  <c r="A43" i="1"/>
  <c r="A44" i="1" s="1"/>
  <c r="A45" i="1" s="1"/>
  <c r="A46" i="1" s="1"/>
  <c r="A30" i="10"/>
  <c r="A53" i="21"/>
  <c r="A30" i="21"/>
  <c r="A2" i="43"/>
  <c r="A1" i="43"/>
  <c r="K33" i="50" l="1"/>
  <c r="G13" i="14"/>
  <c r="A1" i="39"/>
  <c r="A2" i="39"/>
  <c r="A47" i="1"/>
  <c r="A48" i="1" s="1"/>
  <c r="A49" i="1" s="1"/>
  <c r="A50" i="1" s="1"/>
  <c r="A51" i="1" s="1"/>
  <c r="A52" i="1" s="1"/>
  <c r="A53" i="1" s="1"/>
  <c r="A54" i="1" s="1"/>
  <c r="A55" i="1" s="1"/>
  <c r="A56" i="1" s="1"/>
  <c r="A57" i="1" s="1"/>
  <c r="A58" i="1" s="1"/>
  <c r="A59" i="1" s="1"/>
  <c r="A60" i="1" s="1"/>
  <c r="A61" i="1" s="1"/>
  <c r="B32" i="4"/>
  <c r="C32" i="4" s="1"/>
  <c r="C31" i="10"/>
  <c r="B31" i="4" l="1"/>
  <c r="C31" i="4" s="1"/>
  <c r="B87" i="3"/>
  <c r="B32" i="6"/>
  <c r="G26" i="15"/>
  <c r="D13" i="23"/>
  <c r="E13" i="23" s="1"/>
  <c r="F13" i="23" s="1"/>
  <c r="G13" i="23" s="1"/>
  <c r="H13" i="23" s="1"/>
  <c r="I13" i="23" s="1"/>
  <c r="A25" i="23" s="1"/>
  <c r="G60" i="23"/>
  <c r="G62" i="23"/>
  <c r="G63" i="23"/>
  <c r="G64" i="23"/>
  <c r="G65" i="23"/>
  <c r="G66" i="23"/>
  <c r="D10" i="20"/>
  <c r="A35" i="20" s="1"/>
  <c r="A42" i="20" s="1"/>
  <c r="C25" i="18"/>
  <c r="C24" i="18"/>
  <c r="C23" i="18"/>
  <c r="C22" i="18"/>
  <c r="C21" i="18"/>
  <c r="D27" i="18"/>
  <c r="B9" i="1"/>
  <c r="H52" i="15"/>
  <c r="H48" i="15"/>
  <c r="H47" i="15"/>
  <c r="H39" i="15"/>
  <c r="H38" i="15"/>
  <c r="H30" i="15"/>
  <c r="H29" i="15"/>
  <c r="H62" i="15" s="1"/>
  <c r="E44" i="15"/>
  <c r="F44" i="15"/>
  <c r="D44" i="15"/>
  <c r="A22" i="15"/>
  <c r="A31" i="15" s="1"/>
  <c r="A40" i="15" s="1"/>
  <c r="F43" i="15"/>
  <c r="E43" i="15"/>
  <c r="D43" i="15"/>
  <c r="G41" i="15"/>
  <c r="G35" i="15"/>
  <c r="F34" i="15"/>
  <c r="F36" i="15" s="1"/>
  <c r="E34" i="15"/>
  <c r="E36" i="15" s="1"/>
  <c r="D34" i="15"/>
  <c r="D36" i="15" s="1"/>
  <c r="G33" i="15"/>
  <c r="G32" i="15"/>
  <c r="F25" i="15"/>
  <c r="F27" i="15" s="1"/>
  <c r="E25" i="15"/>
  <c r="E27" i="15" s="1"/>
  <c r="D25" i="15"/>
  <c r="D27" i="15" s="1"/>
  <c r="G24" i="15"/>
  <c r="G23" i="15"/>
  <c r="G13" i="15"/>
  <c r="E16" i="15"/>
  <c r="E18" i="15" s="1"/>
  <c r="F16" i="15"/>
  <c r="F18" i="15" s="1"/>
  <c r="C13" i="14"/>
  <c r="C8" i="14"/>
  <c r="D8" i="14" s="1"/>
  <c r="E8" i="14" s="1"/>
  <c r="F8" i="14" s="1"/>
  <c r="G8" i="14" s="1"/>
  <c r="C11" i="13"/>
  <c r="E11" i="13" s="1"/>
  <c r="C12" i="13"/>
  <c r="E12" i="13" s="1"/>
  <c r="C13" i="13"/>
  <c r="E13" i="13" s="1"/>
  <c r="C14" i="13"/>
  <c r="E14" i="13" s="1"/>
  <c r="C10" i="13"/>
  <c r="E10" i="13" s="1"/>
  <c r="C65" i="10"/>
  <c r="A35" i="12"/>
  <c r="A36" i="12" s="1"/>
  <c r="A37" i="12" s="1"/>
  <c r="A38" i="12" s="1"/>
  <c r="A39" i="12" s="1"/>
  <c r="A40" i="12" s="1"/>
  <c r="A41" i="12" s="1"/>
  <c r="A42" i="12" s="1"/>
  <c r="B12" i="12"/>
  <c r="A11" i="6"/>
  <c r="A12" i="6" s="1"/>
  <c r="A13" i="6" s="1"/>
  <c r="C87" i="3"/>
  <c r="C88" i="3"/>
  <c r="B33" i="6"/>
  <c r="A33" i="11"/>
  <c r="A34" i="11" s="1"/>
  <c r="A35" i="11" s="1"/>
  <c r="A36" i="11" s="1"/>
  <c r="A37" i="11" s="1"/>
  <c r="A38" i="11" s="1"/>
  <c r="A39" i="11" s="1"/>
  <c r="A40" i="11" s="1"/>
  <c r="C11" i="11"/>
  <c r="D11" i="11" s="1"/>
  <c r="E11" i="11" s="1"/>
  <c r="C14" i="12"/>
  <c r="A11" i="4"/>
  <c r="A12" i="4" s="1"/>
  <c r="A13" i="4" s="1"/>
  <c r="A14" i="4" s="1"/>
  <c r="H33" i="4"/>
  <c r="M33" i="4" s="1"/>
  <c r="H63" i="15" l="1"/>
  <c r="H65" i="15" s="1"/>
  <c r="K25" i="1" s="1"/>
  <c r="K23" i="1"/>
  <c r="F45" i="15"/>
  <c r="D45" i="15"/>
  <c r="E45" i="15"/>
  <c r="E17" i="18"/>
  <c r="E19" i="18"/>
  <c r="E21" i="18"/>
  <c r="E23" i="18"/>
  <c r="E25" i="18"/>
  <c r="E15" i="18"/>
  <c r="E16" i="18"/>
  <c r="E18" i="18"/>
  <c r="E20" i="18"/>
  <c r="E22" i="18"/>
  <c r="E24" i="18"/>
  <c r="E26" i="18"/>
  <c r="E14" i="18"/>
  <c r="H32" i="4"/>
  <c r="M32" i="4" s="1"/>
  <c r="D88" i="3"/>
  <c r="E88" i="3" s="1"/>
  <c r="D86" i="3"/>
  <c r="C9" i="16"/>
  <c r="D9" i="16" s="1"/>
  <c r="E9" i="16" s="1"/>
  <c r="F9" i="16" s="1"/>
  <c r="A19" i="16" s="1"/>
  <c r="B19" i="16" s="1"/>
  <c r="C19" i="16" s="1"/>
  <c r="D19" i="16" s="1"/>
  <c r="E19" i="16" s="1"/>
  <c r="F19" i="16" s="1"/>
  <c r="B30" i="4"/>
  <c r="C30" i="4" s="1"/>
  <c r="B86" i="3"/>
  <c r="B31" i="6"/>
  <c r="D79" i="3"/>
  <c r="A15" i="4"/>
  <c r="D87" i="3"/>
  <c r="E87" i="3" s="1"/>
  <c r="F33" i="6"/>
  <c r="B15" i="14"/>
  <c r="C15" i="14" s="1"/>
  <c r="D15" i="14" s="1"/>
  <c r="E15" i="14" s="1"/>
  <c r="A35" i="23"/>
  <c r="D9" i="3"/>
  <c r="A32" i="10"/>
  <c r="K47" i="10"/>
  <c r="H54" i="10"/>
  <c r="F52" i="10"/>
  <c r="I56" i="10"/>
  <c r="G56" i="10"/>
  <c r="E55" i="10"/>
  <c r="A49" i="15"/>
  <c r="A53" i="15" s="1"/>
  <c r="A57" i="15" s="1"/>
  <c r="A61" i="15" s="1"/>
  <c r="A65" i="15" s="1"/>
  <c r="A67" i="15" s="1"/>
  <c r="H48" i="10"/>
  <c r="J47" i="10"/>
  <c r="G47" i="10"/>
  <c r="G48" i="10"/>
  <c r="G54" i="10"/>
  <c r="G53" i="10"/>
  <c r="F54" i="10"/>
  <c r="C18" i="12"/>
  <c r="E18" i="12"/>
  <c r="G44" i="15"/>
  <c r="C16" i="12"/>
  <c r="C17" i="12"/>
  <c r="C15" i="12"/>
  <c r="G14" i="15"/>
  <c r="G16" i="15" s="1"/>
  <c r="G18" i="15" s="1"/>
  <c r="G25" i="15"/>
  <c r="G27" i="15" s="1"/>
  <c r="G43" i="15"/>
  <c r="G34" i="15"/>
  <c r="G36" i="15" s="1"/>
  <c r="A42" i="14"/>
  <c r="A43" i="14" s="1"/>
  <c r="A44" i="14" s="1"/>
  <c r="A45" i="14" s="1"/>
  <c r="A46" i="14" s="1"/>
  <c r="A47" i="14" s="1"/>
  <c r="A48" i="14" s="1"/>
  <c r="A49" i="14" s="1"/>
  <c r="A50" i="14" s="1"/>
  <c r="A51" i="14" s="1"/>
  <c r="C12" i="12"/>
  <c r="D12" i="12" s="1"/>
  <c r="E12" i="12" s="1"/>
  <c r="F12" i="12" s="1"/>
  <c r="E17" i="12"/>
  <c r="A14" i="6"/>
  <c r="F11" i="11"/>
  <c r="G11" i="11" s="1"/>
  <c r="A19" i="11" s="1"/>
  <c r="H64" i="15" l="1"/>
  <c r="A16" i="4"/>
  <c r="A17" i="4" s="1"/>
  <c r="A18" i="4" s="1"/>
  <c r="A71" i="15"/>
  <c r="A78" i="15" s="1"/>
  <c r="A84" i="15" s="1"/>
  <c r="A90" i="15" s="1"/>
  <c r="A96" i="15" s="1"/>
  <c r="G45" i="15"/>
  <c r="B29" i="4"/>
  <c r="C29" i="4" s="1"/>
  <c r="B85" i="3"/>
  <c r="B30" i="6"/>
  <c r="A19" i="4"/>
  <c r="D10" i="3"/>
  <c r="E47" i="10"/>
  <c r="E51" i="10"/>
  <c r="F53" i="10"/>
  <c r="E56" i="10"/>
  <c r="I55" i="10"/>
  <c r="E53" i="10"/>
  <c r="E48" i="10"/>
  <c r="F47" i="10"/>
  <c r="F51" i="10"/>
  <c r="H47" i="10"/>
  <c r="E54" i="10"/>
  <c r="E52" i="10"/>
  <c r="J56" i="10"/>
  <c r="F48" i="10"/>
  <c r="I47" i="10"/>
  <c r="E49" i="10"/>
  <c r="G52" i="10"/>
  <c r="I48" i="10"/>
  <c r="G51" i="10"/>
  <c r="E50" i="10"/>
  <c r="H53" i="10"/>
  <c r="H55" i="10"/>
  <c r="H56" i="10"/>
  <c r="C49" i="10"/>
  <c r="C51" i="10"/>
  <c r="F56" i="10"/>
  <c r="G55" i="10"/>
  <c r="F55" i="10"/>
  <c r="A33" i="10"/>
  <c r="D47" i="10"/>
  <c r="D48" i="10"/>
  <c r="D54" i="10"/>
  <c r="D49" i="10"/>
  <c r="C47" i="10"/>
  <c r="D52" i="10"/>
  <c r="C48" i="10"/>
  <c r="D51" i="10"/>
  <c r="D55" i="10"/>
  <c r="D53" i="10"/>
  <c r="D50" i="10"/>
  <c r="F18" i="12"/>
  <c r="D15" i="1" s="1"/>
  <c r="E27" i="18"/>
  <c r="F17" i="12"/>
  <c r="D14" i="1" s="1"/>
  <c r="E16" i="12"/>
  <c r="F16" i="12" s="1"/>
  <c r="D13" i="1" s="1"/>
  <c r="D65" i="10"/>
  <c r="C46" i="10"/>
  <c r="C61" i="10" s="1"/>
  <c r="D31" i="10"/>
  <c r="D46" i="10" s="1"/>
  <c r="D61" i="10" s="1"/>
  <c r="A15" i="6"/>
  <c r="B28" i="4" l="1"/>
  <c r="C28" i="4" s="1"/>
  <c r="B84" i="3"/>
  <c r="B29" i="6"/>
  <c r="F29" i="6" s="1"/>
  <c r="A20" i="4"/>
  <c r="D11" i="3"/>
  <c r="A34" i="10"/>
  <c r="E15" i="12"/>
  <c r="F15" i="12" s="1"/>
  <c r="B10" i="13"/>
  <c r="A14" i="12"/>
  <c r="B13" i="11"/>
  <c r="C9" i="3"/>
  <c r="E65" i="10"/>
  <c r="E31" i="10"/>
  <c r="E46" i="10" s="1"/>
  <c r="E61" i="10" s="1"/>
  <c r="A16" i="6"/>
  <c r="C82" i="3"/>
  <c r="C68" i="3"/>
  <c r="C69" i="3"/>
  <c r="C70" i="3"/>
  <c r="C71" i="3"/>
  <c r="C72" i="3"/>
  <c r="C73" i="3"/>
  <c r="C74" i="3"/>
  <c r="C75" i="3"/>
  <c r="C76" i="3"/>
  <c r="C77" i="3"/>
  <c r="C78" i="3"/>
  <c r="C79" i="3"/>
  <c r="E79" i="3" s="1"/>
  <c r="C80" i="3"/>
  <c r="C81" i="3"/>
  <c r="C83" i="3"/>
  <c r="C84" i="3"/>
  <c r="C85" i="3"/>
  <c r="C86" i="3"/>
  <c r="E86" i="3" s="1"/>
  <c r="F32" i="6"/>
  <c r="F31" i="6"/>
  <c r="F30" i="6"/>
  <c r="P46" i="4"/>
  <c r="D12" i="1" l="1"/>
  <c r="E12" i="1" s="1"/>
  <c r="B27" i="4"/>
  <c r="C27" i="4" s="1"/>
  <c r="B83" i="3"/>
  <c r="B28" i="6"/>
  <c r="F28" i="6" s="1"/>
  <c r="A24" i="14"/>
  <c r="A25" i="14" s="1"/>
  <c r="A27" i="14" s="1"/>
  <c r="C9" i="11"/>
  <c r="A21" i="4"/>
  <c r="D12" i="3"/>
  <c r="A35" i="10"/>
  <c r="E14" i="12"/>
  <c r="F14" i="12" s="1"/>
  <c r="D11" i="1" s="1"/>
  <c r="E11" i="1" s="1"/>
  <c r="F31" i="10"/>
  <c r="F46" i="10" s="1"/>
  <c r="F61" i="10" s="1"/>
  <c r="F65" i="10"/>
  <c r="A17" i="6"/>
  <c r="D13" i="3" l="1"/>
  <c r="D23" i="3"/>
  <c r="B40" i="25"/>
  <c r="F13" i="11"/>
  <c r="D19" i="3"/>
  <c r="D17" i="3"/>
  <c r="D16" i="3"/>
  <c r="D18" i="3"/>
  <c r="B26" i="4"/>
  <c r="C26" i="4" s="1"/>
  <c r="B82" i="3"/>
  <c r="B27" i="6"/>
  <c r="F27" i="6" s="1"/>
  <c r="F17" i="11"/>
  <c r="F16" i="11"/>
  <c r="F15" i="11"/>
  <c r="F14" i="11"/>
  <c r="A22" i="4"/>
  <c r="A36" i="10"/>
  <c r="G65" i="10"/>
  <c r="G31" i="10"/>
  <c r="G46" i="10" s="1"/>
  <c r="G61" i="10" s="1"/>
  <c r="A18" i="6"/>
  <c r="D40" i="25" l="1"/>
  <c r="D12" i="51"/>
  <c r="D14" i="51" s="1"/>
  <c r="K28" i="1" s="1"/>
  <c r="B25" i="4"/>
  <c r="C25" i="4" s="1"/>
  <c r="B81" i="3"/>
  <c r="B26" i="6"/>
  <c r="F26" i="6" s="1"/>
  <c r="A23" i="4"/>
  <c r="A37" i="10"/>
  <c r="H31" i="10"/>
  <c r="H46" i="10" s="1"/>
  <c r="H61" i="10" s="1"/>
  <c r="H65" i="10"/>
  <c r="A19" i="6"/>
  <c r="B24" i="4" l="1"/>
  <c r="C24" i="4" s="1"/>
  <c r="B80" i="3"/>
  <c r="A24" i="4"/>
  <c r="A38" i="10"/>
  <c r="I65" i="10"/>
  <c r="I31" i="10"/>
  <c r="I46" i="10" s="1"/>
  <c r="I61" i="10" s="1"/>
  <c r="A20" i="6"/>
  <c r="P45" i="4"/>
  <c r="C8" i="11" s="1"/>
  <c r="D69" i="3"/>
  <c r="E69" i="3" s="1"/>
  <c r="D71" i="3"/>
  <c r="E71" i="3" s="1"/>
  <c r="D73" i="3"/>
  <c r="E73" i="3" s="1"/>
  <c r="D75" i="3"/>
  <c r="E75" i="3" s="1"/>
  <c r="D77" i="3"/>
  <c r="E77" i="3" s="1"/>
  <c r="D68" i="3"/>
  <c r="E68" i="3" s="1"/>
  <c r="H26" i="4"/>
  <c r="M26" i="4" s="1"/>
  <c r="H27" i="4"/>
  <c r="M27" i="4" s="1"/>
  <c r="H28" i="4"/>
  <c r="M28" i="4" s="1"/>
  <c r="H29" i="4"/>
  <c r="M29" i="4" s="1"/>
  <c r="H30" i="4"/>
  <c r="M30" i="4" s="1"/>
  <c r="H31" i="4"/>
  <c r="M31" i="4" s="1"/>
  <c r="C9" i="1"/>
  <c r="D9" i="1" s="1"/>
  <c r="E9" i="1" s="1"/>
  <c r="F9" i="1" s="1"/>
  <c r="G9" i="1" s="1"/>
  <c r="H9" i="1" s="1"/>
  <c r="E13" i="1"/>
  <c r="E14" i="1"/>
  <c r="E15" i="1"/>
  <c r="F58" i="23" s="1"/>
  <c r="G58" i="23" s="1"/>
  <c r="F16" i="1"/>
  <c r="B16" i="1"/>
  <c r="I9" i="1" l="1"/>
  <c r="J9" i="1" s="1"/>
  <c r="K9" i="1" s="1"/>
  <c r="L9" i="1" s="1"/>
  <c r="F19" i="1" s="1"/>
  <c r="F20" i="1" s="1"/>
  <c r="F21" i="1" s="1"/>
  <c r="F22" i="1" s="1"/>
  <c r="F23" i="1" s="1"/>
  <c r="F24" i="1" s="1"/>
  <c r="F25" i="1" s="1"/>
  <c r="F26" i="1" s="1"/>
  <c r="F27" i="1" s="1"/>
  <c r="F28" i="1" s="1"/>
  <c r="F29" i="1" s="1"/>
  <c r="F31" i="1" s="1"/>
  <c r="B39" i="25"/>
  <c r="D22" i="3"/>
  <c r="D39" i="25" s="1"/>
  <c r="D85" i="3"/>
  <c r="E85" i="3" s="1"/>
  <c r="D83" i="3"/>
  <c r="E83" i="3" s="1"/>
  <c r="D81" i="3"/>
  <c r="E81" i="3" s="1"/>
  <c r="H25" i="4"/>
  <c r="M25" i="4" s="1"/>
  <c r="B25" i="6"/>
  <c r="F25" i="6" s="1"/>
  <c r="B23" i="4"/>
  <c r="C23" i="4" s="1"/>
  <c r="B79" i="3"/>
  <c r="A25" i="4"/>
  <c r="G59" i="23"/>
  <c r="A39" i="10"/>
  <c r="A17" i="12"/>
  <c r="B13" i="13"/>
  <c r="B16" i="11"/>
  <c r="A15" i="12"/>
  <c r="B11" i="13"/>
  <c r="B14" i="11"/>
  <c r="B14" i="13"/>
  <c r="B17" i="11"/>
  <c r="C90" i="3" s="1"/>
  <c r="A18" i="12"/>
  <c r="B12" i="13"/>
  <c r="B15" i="11"/>
  <c r="A16" i="12"/>
  <c r="C13" i="3"/>
  <c r="C11" i="3"/>
  <c r="C12" i="3"/>
  <c r="C10" i="3"/>
  <c r="J31" i="10"/>
  <c r="J46" i="10" s="1"/>
  <c r="J61" i="10" s="1"/>
  <c r="J65" i="10"/>
  <c r="A21" i="6"/>
  <c r="D70" i="3"/>
  <c r="E70" i="3" s="1"/>
  <c r="D84" i="3"/>
  <c r="E84" i="3" s="1"/>
  <c r="D82" i="3"/>
  <c r="E82" i="3" s="1"/>
  <c r="D78" i="3"/>
  <c r="E78" i="3" s="1"/>
  <c r="D74" i="3"/>
  <c r="E74" i="3" s="1"/>
  <c r="E16" i="1"/>
  <c r="D80" i="3"/>
  <c r="E80" i="3" s="1"/>
  <c r="D76" i="3"/>
  <c r="E76" i="3" s="1"/>
  <c r="D72" i="3"/>
  <c r="E72" i="3" s="1"/>
  <c r="F67" i="23" l="1"/>
  <c r="B24" i="6"/>
  <c r="F24" i="6" s="1"/>
  <c r="H24" i="4"/>
  <c r="M24" i="4" s="1"/>
  <c r="B22" i="4"/>
  <c r="C22" i="4" s="1"/>
  <c r="B78" i="3"/>
  <c r="D15" i="11"/>
  <c r="G15" i="11" s="1"/>
  <c r="H13" i="1" s="1"/>
  <c r="D13" i="11"/>
  <c r="G13" i="11" s="1"/>
  <c r="H11" i="1" s="1"/>
  <c r="D14" i="11"/>
  <c r="G14" i="11" s="1"/>
  <c r="H12" i="1" s="1"/>
  <c r="D17" i="11"/>
  <c r="G17" i="11" s="1"/>
  <c r="H15" i="1" s="1"/>
  <c r="D16" i="11"/>
  <c r="G16" i="11" s="1"/>
  <c r="H14" i="1" s="1"/>
  <c r="A26" i="4"/>
  <c r="A41" i="10"/>
  <c r="A40" i="10"/>
  <c r="K65" i="10"/>
  <c r="K31" i="10"/>
  <c r="K46" i="10" s="1"/>
  <c r="K61" i="10" s="1"/>
  <c r="A22" i="6"/>
  <c r="L16" i="1"/>
  <c r="K17" i="1" s="1"/>
  <c r="J14" i="1" l="1"/>
  <c r="K14" i="1" s="1"/>
  <c r="E12" i="3" s="1"/>
  <c r="J15" i="1"/>
  <c r="K15" i="1" s="1"/>
  <c r="E13" i="3" s="1"/>
  <c r="J12" i="1"/>
  <c r="K12" i="1" s="1"/>
  <c r="E10" i="3" s="1"/>
  <c r="J11" i="1"/>
  <c r="K11" i="1" s="1"/>
  <c r="E9" i="3" s="1"/>
  <c r="J13" i="1"/>
  <c r="K13" i="1" s="1"/>
  <c r="E11" i="3" s="1"/>
  <c r="G67" i="23"/>
  <c r="K21" i="1" s="1"/>
  <c r="B23" i="6"/>
  <c r="F23" i="6" s="1"/>
  <c r="H23" i="4"/>
  <c r="M23" i="4" s="1"/>
  <c r="B21" i="4"/>
  <c r="C21" i="4" s="1"/>
  <c r="B77" i="3"/>
  <c r="A27" i="4"/>
  <c r="A23" i="6"/>
  <c r="A28" i="4" l="1"/>
  <c r="J16" i="1"/>
  <c r="K16" i="1" s="1"/>
  <c r="K19" i="1"/>
  <c r="K24" i="1" s="1"/>
  <c r="B22" i="6"/>
  <c r="F22" i="6" s="1"/>
  <c r="H22" i="4"/>
  <c r="M22" i="4" s="1"/>
  <c r="B20" i="4"/>
  <c r="C20" i="4" s="1"/>
  <c r="B76" i="3"/>
  <c r="A29" i="4"/>
  <c r="A24" i="6"/>
  <c r="K26" i="1" l="1"/>
  <c r="K29" i="1" s="1"/>
  <c r="B34" i="25" s="1"/>
  <c r="C35" i="25" s="1"/>
  <c r="B21" i="6"/>
  <c r="F21" i="6" s="1"/>
  <c r="H21" i="4"/>
  <c r="M21" i="4" s="1"/>
  <c r="B19" i="4"/>
  <c r="C19" i="4" s="1"/>
  <c r="B75" i="3"/>
  <c r="A30" i="4"/>
  <c r="A25" i="6"/>
  <c r="B18" i="4" l="1"/>
  <c r="C18" i="4" s="1"/>
  <c r="B74" i="3"/>
  <c r="B20" i="6"/>
  <c r="F20" i="6" s="1"/>
  <c r="H20" i="4"/>
  <c r="M20" i="4" s="1"/>
  <c r="A31" i="4"/>
  <c r="A26" i="6"/>
  <c r="B19" i="6" l="1"/>
  <c r="F19" i="6" s="1"/>
  <c r="H19" i="4"/>
  <c r="M19" i="4" s="1"/>
  <c r="B17" i="4"/>
  <c r="C17" i="4" s="1"/>
  <c r="B73" i="3"/>
  <c r="A32" i="4"/>
  <c r="A27" i="6"/>
  <c r="B18" i="6" l="1"/>
  <c r="F18" i="6" s="1"/>
  <c r="H18" i="4"/>
  <c r="M18" i="4" s="1"/>
  <c r="B16" i="4"/>
  <c r="C16" i="4" s="1"/>
  <c r="B72" i="3"/>
  <c r="A33" i="4"/>
  <c r="A28" i="6"/>
  <c r="N41" i="4" l="1" a="1"/>
  <c r="N41" i="4" s="1"/>
  <c r="N40" i="4" a="1"/>
  <c r="N40" i="4" s="1"/>
  <c r="N38" i="4" a="1"/>
  <c r="N38" i="4" s="1"/>
  <c r="O38" i="4"/>
  <c r="P38" i="4"/>
  <c r="O39" i="4"/>
  <c r="P39" i="4"/>
  <c r="N39" i="4"/>
  <c r="P40" i="4"/>
  <c r="O40" i="4"/>
  <c r="P41" i="4"/>
  <c r="O41" i="4"/>
  <c r="P42" i="4"/>
  <c r="O42" i="4"/>
  <c r="N42" i="4"/>
  <c r="P43" i="4"/>
  <c r="O43" i="4"/>
  <c r="N43" i="4"/>
  <c r="B17" i="6"/>
  <c r="F17" i="6" s="1"/>
  <c r="H17" i="4"/>
  <c r="M17" i="4" s="1"/>
  <c r="B15" i="4"/>
  <c r="C15" i="4" s="1"/>
  <c r="B71" i="3"/>
  <c r="A29" i="6"/>
  <c r="B14" i="4" l="1"/>
  <c r="C14" i="4" s="1"/>
  <c r="B70" i="3"/>
  <c r="B16" i="6"/>
  <c r="F16" i="6" s="1"/>
  <c r="H16" i="4"/>
  <c r="M16" i="4" s="1"/>
  <c r="A30" i="6"/>
  <c r="B15" i="6" l="1"/>
  <c r="F15" i="6" s="1"/>
  <c r="H15" i="4"/>
  <c r="M15" i="4" s="1"/>
  <c r="B13" i="4"/>
  <c r="C13" i="4" s="1"/>
  <c r="B69" i="3"/>
  <c r="A31" i="6"/>
  <c r="B12" i="4" l="1"/>
  <c r="C12" i="4" s="1"/>
  <c r="B68" i="3"/>
  <c r="B14" i="6"/>
  <c r="F14" i="6" s="1"/>
  <c r="H14" i="4"/>
  <c r="M14" i="4" s="1"/>
  <c r="A32" i="6"/>
  <c r="B13" i="6" l="1"/>
  <c r="F13" i="6" s="1"/>
  <c r="H13" i="4"/>
  <c r="M13" i="4" s="1"/>
  <c r="B11" i="4"/>
  <c r="C11" i="4" s="1"/>
  <c r="A33" i="6"/>
  <c r="D36" i="6" s="1" a="1"/>
  <c r="D36" i="6" s="1"/>
  <c r="D41" i="6" l="1" a="1"/>
  <c r="D41" i="6" s="1"/>
  <c r="D40" i="6" a="1"/>
  <c r="D40" i="6" s="1"/>
  <c r="D39" i="6" a="1"/>
  <c r="D39" i="6" s="1"/>
  <c r="D38" i="6" a="1"/>
  <c r="D38" i="6" s="1"/>
  <c r="D37" i="6" a="1"/>
  <c r="D37" i="6" s="1"/>
  <c r="B10" i="4"/>
  <c r="C10" i="4" s="1"/>
  <c r="B12" i="6"/>
  <c r="F12" i="6" s="1"/>
  <c r="H12" i="4"/>
  <c r="A37" i="23"/>
  <c r="A41" i="23" s="1"/>
  <c r="A43" i="23" s="1"/>
  <c r="B56" i="23" s="1"/>
  <c r="D56" i="23" s="1"/>
  <c r="E56" i="23" l="1"/>
  <c r="F56" i="23" s="1"/>
  <c r="G56" i="23" s="1"/>
  <c r="H56" i="23" s="1"/>
  <c r="I56" i="23" s="1"/>
  <c r="A69" i="23" s="1"/>
  <c r="A72" i="23" s="1"/>
  <c r="B10" i="6"/>
  <c r="F10" i="6" s="1"/>
  <c r="H10" i="4"/>
  <c r="B11" i="6"/>
  <c r="F11" i="6" s="1"/>
  <c r="H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tc={3C0DCE72-48E2-4D73-9B4A-EA2E15633325}</author>
  </authors>
  <commentList>
    <comment ref="A62" authorId="0" shapeId="0" xr:uid="{3C0DCE72-48E2-4D73-9B4A-EA2E15633325}">
      <text>
        <t>[Threaded comment]
Your version of Excel allows you to read this threaded comment; however, any edits to it will get removed if the file is opened in a newer version of Excel. Learn more: https://go.microsoft.com/fwlink/?linkid=870924
Comment:
    Do we want these cells to be hannging out here?  These options can be specified in the &lt;Data Validation&gt; within the cell.  
Reply:
    Thanks! I moved this over here. This time I cut instead of copied, so it looks like it preserved references and whatnot.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<sst xmlns="http://schemas.openxmlformats.org/spreadsheetml/2006/main" count="1469" uniqueCount="973">
  <si>
    <t>LOB</t>
  </si>
  <si>
    <t>Conditional formatting for Checklist</t>
  </si>
  <si>
    <t>Frequency of Rate Reviews Assumed:</t>
  </si>
  <si>
    <t>CMP</t>
  </si>
  <si>
    <t>Workers' Comp.</t>
  </si>
  <si>
    <t>Mortgage Guar.</t>
  </si>
  <si>
    <t>Com. Auto</t>
  </si>
  <si>
    <t>Pers. Auto</t>
  </si>
  <si>
    <t>Com. Prop.</t>
  </si>
  <si>
    <t>Commercial Auto</t>
  </si>
  <si>
    <t>General Liab.</t>
  </si>
  <si>
    <t>Residential Prop.</t>
  </si>
  <si>
    <t>Med. Mal.</t>
  </si>
  <si>
    <t>Other</t>
  </si>
  <si>
    <t>(7a)</t>
  </si>
  <si>
    <t>Fill Gen Info</t>
  </si>
  <si>
    <t>(7b)</t>
  </si>
  <si>
    <t>(7c)</t>
  </si>
  <si>
    <t>Confirm</t>
  </si>
  <si>
    <t>Policy Term</t>
  </si>
  <si>
    <t>NA</t>
  </si>
  <si>
    <t>Rate Indication Performed on:</t>
  </si>
  <si>
    <t>Calendar Year</t>
  </si>
  <si>
    <t>Accident Year</t>
  </si>
  <si>
    <t>DCCE Analyzed:</t>
  </si>
  <si>
    <t>Separate by Calendar Year</t>
  </si>
  <si>
    <t>With Accident Year Losses</t>
  </si>
  <si>
    <t>Yes</t>
  </si>
  <si>
    <t>No</t>
  </si>
  <si>
    <t>Losses</t>
  </si>
  <si>
    <t>Expenses</t>
  </si>
  <si>
    <t>Neither</t>
  </si>
  <si>
    <t>N/A</t>
  </si>
  <si>
    <t>TL&amp;F</t>
  </si>
  <si>
    <t>General Exp</t>
  </si>
  <si>
    <t>Select</t>
  </si>
  <si>
    <t>Ratio to Non-Catastrophe Losses</t>
  </si>
  <si>
    <t>Ratio to Projected Earned Premium</t>
  </si>
  <si>
    <t>Unconfirmed</t>
  </si>
  <si>
    <t>Confirmed</t>
  </si>
  <si>
    <t>Select n-year average</t>
  </si>
  <si>
    <t>Select Basis</t>
  </si>
  <si>
    <t>Dollars ($)</t>
  </si>
  <si>
    <t>Thousands ($000)</t>
  </si>
  <si>
    <t>Parallelogram Method</t>
  </si>
  <si>
    <t>Re-Rating Policies</t>
  </si>
  <si>
    <t>Purpose</t>
  </si>
  <si>
    <r>
      <t>Under Texas' file-and-use statute (</t>
    </r>
    <r>
      <rPr>
        <u/>
        <sz val="12"/>
        <color rgb="FF0000FF"/>
        <rFont val="Segoe UI"/>
        <family val="2"/>
      </rPr>
      <t>Insurance Code Chapter 2251</t>
    </r>
    <r>
      <rPr>
        <sz val="12"/>
        <color theme="1"/>
        <rFont val="Segoe UI"/>
        <family val="2"/>
      </rPr>
      <t xml:space="preserve">), each insurer shall file all rates, applicable rating manuals, supplementary rating information, and additional information as required by the commissioner.  </t>
    </r>
  </si>
  <si>
    <r>
      <t xml:space="preserve">Texas Administrative Code (TAC) §§5.9330 - 5.9334 (Division 6 - FME - Requirements for Rate and Rule Filings) </t>
    </r>
    <r>
      <rPr>
        <sz val="12"/>
        <rFont val="Segoe UI"/>
        <family val="2"/>
      </rPr>
      <t xml:space="preserve"> specifies requirements for the filing of this information.  The Filings Made Easy (FME) Guide assists filers with regard to rate filings by providing standard exhibits for insurers to use to provide certain required information.</t>
    </r>
  </si>
  <si>
    <r>
      <t xml:space="preserve">This rate filing template was created to further assist insurers with compliance of </t>
    </r>
    <r>
      <rPr>
        <u/>
        <sz val="12"/>
        <color rgb="FF0000FF"/>
        <rFont val="Segoe UI"/>
        <family val="2"/>
      </rPr>
      <t>TAC §§5.9330 - 5.9334</t>
    </r>
    <r>
      <rPr>
        <sz val="12"/>
        <color theme="1"/>
        <rFont val="Segoe UI"/>
        <family val="2"/>
      </rPr>
      <t xml:space="preserve"> by providing additional exhibits.  </t>
    </r>
  </si>
  <si>
    <t>This template includes two checklists to assist insurers in making full and complete filing support.  The first checklist supplements the indication support. The second checklist replaces Exhibit A from the Filings Made Easy Guide, removing items that are not relevant to this line of business.</t>
  </si>
  <si>
    <t xml:space="preserve">The exhibits included in this template can be used to provide rate indications and actuarial support. </t>
  </si>
  <si>
    <r>
      <t xml:space="preserve">For companies opting to use this filing template, exhibits C, D, E, and L in the </t>
    </r>
    <r>
      <rPr>
        <u/>
        <sz val="12"/>
        <color rgb="FF0000FF"/>
        <rFont val="Segoe UI"/>
        <family val="2"/>
      </rPr>
      <t>Filings Made Easy Guide</t>
    </r>
    <r>
      <rPr>
        <sz val="12"/>
        <color theme="1"/>
        <rFont val="Segoe UI"/>
        <family val="2"/>
      </rPr>
      <t xml:space="preserve"> will no  longer be required as they duplicate information included in this workbook.</t>
    </r>
  </si>
  <si>
    <r>
      <t xml:space="preserve">As noted in the checklist, insurers need to provide company support specific to supplementary rating information that is changing, such as class relativities or discounts.  Links are provided where TDI has created sample exhibits; for others, companies should look to their own actuarial department for support that meets the </t>
    </r>
    <r>
      <rPr>
        <u/>
        <sz val="12"/>
        <color rgb="FF0000FF"/>
        <rFont val="Segoe UI"/>
        <family val="2"/>
      </rPr>
      <t>actuarial standards of practice</t>
    </r>
    <r>
      <rPr>
        <sz val="12"/>
        <color theme="1"/>
        <rFont val="Segoe UI"/>
        <family val="2"/>
      </rPr>
      <t xml:space="preserve">. </t>
    </r>
  </si>
  <si>
    <t xml:space="preserve">Once completed, insurers may attach this entire workbook under the Supporting Information tab in SERFF in Excel format in addition to the required copy in PDF format.  </t>
  </si>
  <si>
    <t>Instructions for Completion</t>
  </si>
  <si>
    <t>This rate filing template is provided as a tool.  Other ratemaking methodologies may be acceptable and can be provided separately.  When completed, this template provides supporting information for an overall rate change.</t>
  </si>
  <si>
    <r>
      <t>Complete the Company Information section in the General Information tab first.</t>
    </r>
    <r>
      <rPr>
        <sz val="12"/>
        <color theme="1"/>
        <rFont val="Segoe UI"/>
        <family val="2"/>
      </rPr>
      <t xml:space="preserve"> The Filing Information section will populate once the packet is complete.</t>
    </r>
  </si>
  <si>
    <t>Enter data or comments in all fields in each tab that are highlighted yellow, to the extent that it is available.  Once an entry is made, the highlighting will disappear.  In some cases, the answer to a question may highlight an additional field.</t>
  </si>
  <si>
    <t xml:space="preserve">Data-entry cells are linked when appropriate to avoid the need for duplicate data entry.  </t>
  </si>
  <si>
    <t>The Indication Checklist does not substitute for Exhibit A, the Rate Filing Checklist. The Indication Checklist contains questions specific to an indication, such as questions concerning changes to methodology since the previous rate filing</t>
  </si>
  <si>
    <t>Exhibits C1, C2, and C3 should be completed on a company-wide basis, meaning they should include information for all forms/perils within the company.</t>
  </si>
  <si>
    <t>The General Information tab, Exhibits D and E, and the remaining ratemaking exhibits should be completed for each form/peril that is analyzed separately.</t>
  </si>
  <si>
    <t>The following exhibits do not require any entry:</t>
  </si>
  <si>
    <t>5C-Loss Trend, 5D-Loss Ratio Trend, and 13B-Effective Return.</t>
  </si>
  <si>
    <t>If company-wide data is used to support a selection for multiple forms/perils, then that information needs to be included in only one form/peril's packet.  The selections should still be entered into every packet so that an overall indication for each form/peril can be calculated.  For example, if the loss trends are selected based on data from all forms combined, then the loss trend data, as well as the answers to questions related to  the loss trend data and selections, can be entered into only one form's packet, while the loss trend selections should be entered into each form's packet.</t>
  </si>
  <si>
    <t>Any comments, suggestions, or other feedback may be submitted to pcactuarial@tdi.texas.gov.</t>
  </si>
  <si>
    <t>Index of Exhibits</t>
  </si>
  <si>
    <t>Indication Checklist</t>
  </si>
  <si>
    <t>General Information</t>
  </si>
  <si>
    <t>C1-Statewide Average Rate Level Change</t>
  </si>
  <si>
    <t>C2-Rate Change History</t>
  </si>
  <si>
    <t>C3-Rate Change by Variable</t>
  </si>
  <si>
    <t>D-Historical Experience</t>
  </si>
  <si>
    <t>E-Expense</t>
  </si>
  <si>
    <t>1-Indication</t>
  </si>
  <si>
    <t>2-Current Rate Level</t>
  </si>
  <si>
    <t>3-Trend Period</t>
  </si>
  <si>
    <t>4A-Premium Trend</t>
  </si>
  <si>
    <t>4B-Premium Trend</t>
  </si>
  <si>
    <t>5A-Loss Trend</t>
  </si>
  <si>
    <t>5B-Loss Trend</t>
  </si>
  <si>
    <t>5C-Loss Trend</t>
  </si>
  <si>
    <t>5D-Loss Ratio Trend</t>
  </si>
  <si>
    <t>6-Loss Development</t>
  </si>
  <si>
    <t>7-Large Loss Load</t>
  </si>
  <si>
    <t>8-Non-Modeled Cat Loss Load</t>
  </si>
  <si>
    <t>9-Modeled Cat</t>
  </si>
  <si>
    <t>10-Loss Adjustment Expenses</t>
  </si>
  <si>
    <t>11-Fixed &amp; Variable Expenses</t>
  </si>
  <si>
    <t>12-Reinsurance</t>
  </si>
  <si>
    <t>13A-Profit</t>
  </si>
  <si>
    <t>13B-Effective Return</t>
  </si>
  <si>
    <t>14-Credibility</t>
  </si>
  <si>
    <t>15-Fees</t>
  </si>
  <si>
    <t>16-Policyholder Impact</t>
  </si>
  <si>
    <t>17-Premium Change by County</t>
  </si>
  <si>
    <t>Company:</t>
  </si>
  <si>
    <t>LOB:</t>
  </si>
  <si>
    <t>Rate Filing Checklist (Alternate Exhibit A)</t>
  </si>
  <si>
    <t xml:space="preserve">Filing Contents </t>
  </si>
  <si>
    <r>
      <rPr>
        <b/>
        <sz val="12"/>
        <color theme="0"/>
        <rFont val="Segoe UI"/>
        <family val="2"/>
      </rPr>
      <t>All rate filings –</t>
    </r>
    <r>
      <rPr>
        <sz val="12"/>
        <color theme="0"/>
        <rFont val="Segoe UI"/>
        <family val="2"/>
      </rPr>
      <t xml:space="preserve"> The following items are required in filings except short track filings and filings for insurers that qualify for reduced filing requirements under 28 Texas Administrative Code (TAC) Chapter 5, Subchapter M, Division 9</t>
    </r>
  </si>
  <si>
    <t xml:space="preserve">Transmittal information </t>
  </si>
  <si>
    <t xml:space="preserve">Rates, supplementary rating information, and fees </t>
  </si>
  <si>
    <t>Filing memorandum</t>
  </si>
  <si>
    <t>Rate filing checklist (Exhibit A or this exhibit)</t>
  </si>
  <si>
    <t>Rate change information (Exhibit C or the C1, C2, and C3 sheets from this document)</t>
  </si>
  <si>
    <t>SERFF rate data</t>
  </si>
  <si>
    <t>Loss cost information for reference filings (Exhibit G)</t>
  </si>
  <si>
    <t>Actuarial memorandum</t>
  </si>
  <si>
    <t>Actuarial support</t>
  </si>
  <si>
    <t xml:space="preserve">Rate indications (overall, coverage, form, or peril) </t>
  </si>
  <si>
    <t xml:space="preserve">Relativity analysis (territory, driver class, etc.) </t>
  </si>
  <si>
    <t>Other actuarial support</t>
  </si>
  <si>
    <t>Policyholder impact information (for owner-occupied homeowners and personal automobile)</t>
  </si>
  <si>
    <t>Average rate change by county (County Exhibit, for owner-occupied homeowners)</t>
  </si>
  <si>
    <t>Historical premium and loss information (Exhibit D)</t>
  </si>
  <si>
    <t>Expense information, including disallowed expense adjustment (Exhibit E or Sheets E and 13 of this document; all lines except mortgage guarantee and worker's compensation)</t>
  </si>
  <si>
    <t xml:space="preserve">Expense information (Exhibit F, for mortgage guarantee and workers' compensation) </t>
  </si>
  <si>
    <t>Profit provision information (Exhibit L of Sheet 12 of this document)</t>
  </si>
  <si>
    <t>Certification (Exhibit MG, for mortgage guarantee)</t>
  </si>
  <si>
    <t xml:space="preserve">Support for use of credit scoring (28 TAC Section 5.9941, CS Exhibit) </t>
  </si>
  <si>
    <t>Support for territory rating (28 TAC Section 5.9960, Territory Exhibits)</t>
  </si>
  <si>
    <t>Third-party data information</t>
  </si>
  <si>
    <t>Third-party model information</t>
  </si>
  <si>
    <r>
      <rPr>
        <b/>
        <sz val="12"/>
        <color theme="0"/>
        <rFont val="Segoe UI"/>
        <family val="2"/>
      </rPr>
      <t>Short track filings –</t>
    </r>
    <r>
      <rPr>
        <sz val="12"/>
        <color theme="0"/>
        <rFont val="Segoe UI"/>
        <family val="2"/>
      </rPr>
      <t xml:space="preserve"> The following items are required if the filing qualifies as a short track filing, in which limited information is needed to determine compliance with Texas statutes and rules. 28 TAC Section 5.9331(b)(4).</t>
    </r>
  </si>
  <si>
    <t>Transmittal information</t>
  </si>
  <si>
    <t>Side-by-side comparison or a mark up, if applicable</t>
  </si>
  <si>
    <r>
      <rPr>
        <b/>
        <sz val="12"/>
        <color theme="0"/>
        <rFont val="Segoe UI"/>
        <family val="2"/>
      </rPr>
      <t xml:space="preserve">Division 9 rate filings: </t>
    </r>
    <r>
      <rPr>
        <sz val="12"/>
        <color theme="0"/>
        <rFont val="Segoe UI"/>
        <family val="2"/>
      </rPr>
      <t>The following items are required in a filing for insurers that qualify for reduced filing requirements under 28 TAC Chapter 6, Subchapter M, Division 9.</t>
    </r>
  </si>
  <si>
    <t>Certification (EC-1, residential property)</t>
  </si>
  <si>
    <t>Rate filing checklist (Exhibit A)</t>
  </si>
  <si>
    <t xml:space="preserve">Rate change information (Exhibit C) </t>
  </si>
  <si>
    <t xml:space="preserve">Policyholder impact information (for owner-occupied homeowners and personal automobile) </t>
  </si>
  <si>
    <t>Average rate change by county (Exhibit County, for owner-occupied homeowners)</t>
  </si>
  <si>
    <r>
      <rPr>
        <b/>
        <sz val="12"/>
        <color theme="0"/>
        <rFont val="Segoe UI"/>
        <family val="2"/>
      </rPr>
      <t xml:space="preserve">Division 10 additional requirements for certain county mutual insurers </t>
    </r>
    <r>
      <rPr>
        <sz val="12"/>
        <color theme="0"/>
        <rFont val="Segoe UI"/>
        <family val="2"/>
      </rPr>
      <t>– The following item is required in addition to those for all rate filings for county mutual insurers described by Texas Insurance Code Sections 912.056(d) and (e).</t>
    </r>
  </si>
  <si>
    <t>Additional Information for Certain County Mutuals (Exhibit CM)</t>
  </si>
  <si>
    <t>Texas Department of Insurance</t>
  </si>
  <si>
    <t>Property and Casualty Rate Filing Exhibits</t>
  </si>
  <si>
    <t>Company Information:</t>
  </si>
  <si>
    <t>NOTE: Fill in this information before completing the ratemaking exhibits.</t>
  </si>
  <si>
    <t>Company Name:
   (Shortened or Initials)</t>
  </si>
  <si>
    <t>Line of Business:</t>
  </si>
  <si>
    <t>Form/Peril:</t>
  </si>
  <si>
    <t>Loss Experience Evaluation Date:</t>
  </si>
  <si>
    <r>
      <t xml:space="preserve">Effective Date (Renewal)
         </t>
    </r>
    <r>
      <rPr>
        <i/>
        <sz val="12"/>
        <color theme="1"/>
        <rFont val="Segoe UI"/>
        <family val="2"/>
      </rPr>
      <t>for Proposed Rates:</t>
    </r>
  </si>
  <si>
    <r>
      <t xml:space="preserve">Effective Date (Renewal)
     </t>
    </r>
    <r>
      <rPr>
        <i/>
        <sz val="12"/>
        <color theme="1"/>
        <rFont val="Segoe UI"/>
        <family val="2"/>
      </rPr>
      <t>for Prior Rate Change:</t>
    </r>
  </si>
  <si>
    <t>Filing Information:</t>
  </si>
  <si>
    <t>Overall Indicated</t>
  </si>
  <si>
    <t>Overall Proposed</t>
  </si>
  <si>
    <t>Trend Selections</t>
  </si>
  <si>
    <t>Loss</t>
  </si>
  <si>
    <t>Premium</t>
  </si>
  <si>
    <t>Net</t>
  </si>
  <si>
    <t>Historical</t>
  </si>
  <si>
    <t>Prospective</t>
  </si>
  <si>
    <t>General Expense Provision</t>
  </si>
  <si>
    <t>Maximum Policyholder Impact</t>
  </si>
  <si>
    <t>Minimum Policyholder Impact</t>
  </si>
  <si>
    <t>General</t>
  </si>
  <si>
    <t xml:space="preserve">Complete this workbook and provide additional support as described below. </t>
  </si>
  <si>
    <t>What is the State Tracking Number of the last filing for this program?</t>
  </si>
  <si>
    <t>Have you changed any methodologies used in the rate level indication since your last filing?</t>
  </si>
  <si>
    <t>(3a)</t>
  </si>
  <si>
    <t>If so, explain the change in methodologies (attach separately).</t>
  </si>
  <si>
    <t>Are you proposing changes to any supplementary rating components? (example: discounts, classification relativities, tier factors, territory relativities).</t>
  </si>
  <si>
    <t>(4a)</t>
  </si>
  <si>
    <t>If so, provide actuarial support specific to each change (attach separately).</t>
  </si>
  <si>
    <r>
      <t>Territory</t>
    </r>
    <r>
      <rPr>
        <i/>
        <sz val="12"/>
        <color theme="0"/>
        <rFont val="Segoe UI"/>
        <family val="2"/>
      </rPr>
      <t xml:space="preserve">  (Chapter 2253 and 28 TAC §5.9960)</t>
    </r>
  </si>
  <si>
    <t>Are any counties split into two or more territories?</t>
  </si>
  <si>
    <t>(5a)</t>
  </si>
  <si>
    <r>
      <rPr>
        <sz val="12"/>
        <rFont val="Segoe UI"/>
        <family val="2"/>
      </rPr>
      <t xml:space="preserve">If so, complete </t>
    </r>
    <r>
      <rPr>
        <u/>
        <sz val="12"/>
        <color theme="10"/>
        <rFont val="Segoe UI"/>
        <family val="2"/>
      </rPr>
      <t>Territory Exhibit 1 - Display of Counties Affected by 15% Territory Rule</t>
    </r>
    <r>
      <rPr>
        <sz val="12"/>
        <rFont val="Segoe UI"/>
        <family val="2"/>
      </rPr>
      <t xml:space="preserve"> (attach separately).</t>
    </r>
  </si>
  <si>
    <t>Did any of the territorial relativities change?</t>
  </si>
  <si>
    <t>(6a)</t>
  </si>
  <si>
    <r>
      <rPr>
        <sz val="12"/>
        <rFont val="Segoe UI"/>
        <family val="2"/>
      </rPr>
      <t xml:space="preserve">If so, complete </t>
    </r>
    <r>
      <rPr>
        <u/>
        <sz val="12"/>
        <color theme="10"/>
        <rFont val="Segoe UI"/>
        <family val="2"/>
      </rPr>
      <t>Territory Exhibit 2 - Support for Territorial Deviations</t>
    </r>
    <r>
      <rPr>
        <sz val="12"/>
        <rFont val="Segoe UI"/>
        <family val="2"/>
      </rPr>
      <t xml:space="preserve"> (attach separately).</t>
    </r>
  </si>
  <si>
    <r>
      <t xml:space="preserve">Credit </t>
    </r>
    <r>
      <rPr>
        <i/>
        <sz val="12"/>
        <color theme="0"/>
        <rFont val="Segoe UI"/>
        <family val="2"/>
      </rPr>
      <t xml:space="preserve"> (Chapter 559 and 28 TAC §§5.9440 and 5.9441; personal lines only)</t>
    </r>
  </si>
  <si>
    <t>Does this program use insurance score information for rating purposes?</t>
  </si>
  <si>
    <t>If so, has a credit model filing been made?</t>
  </si>
  <si>
    <t>If so, were the rating factors that reflect credit information revised in this filing?</t>
  </si>
  <si>
    <r>
      <rPr>
        <sz val="12"/>
        <rFont val="Segoe UI"/>
        <family val="2"/>
      </rPr>
      <t>If so, complete</t>
    </r>
    <r>
      <rPr>
        <u/>
        <sz val="12"/>
        <color theme="10"/>
        <rFont val="Segoe UI"/>
        <family val="2"/>
      </rPr>
      <t xml:space="preserve"> CS Exhibit - Support for use of Credit Scoring</t>
    </r>
    <r>
      <rPr>
        <sz val="12"/>
        <rFont val="Segoe UI"/>
        <family val="2"/>
      </rPr>
      <t xml:space="preserve"> (attach separately).</t>
    </r>
  </si>
  <si>
    <t>Assessments</t>
  </si>
  <si>
    <t>How are amounts paid for assessments included in the losses or expenses for ratemaking purposes?</t>
  </si>
  <si>
    <t>Where are paid assessments reported in the company's financial statement? If Other, explain below.</t>
  </si>
  <si>
    <r>
      <t xml:space="preserve">Other Statutory </t>
    </r>
    <r>
      <rPr>
        <i/>
        <sz val="12"/>
        <color theme="0"/>
        <rFont val="Segoe UI"/>
        <family val="2"/>
      </rPr>
      <t>(varies by LOB)</t>
    </r>
  </si>
  <si>
    <r>
      <rPr>
        <sz val="12"/>
        <rFont val="Segoe UI"/>
        <family val="2"/>
      </rPr>
      <t xml:space="preserve">Confirm compliance </t>
    </r>
    <r>
      <rPr>
        <u/>
        <sz val="12"/>
        <color theme="10"/>
        <rFont val="Segoe UI"/>
        <family val="2"/>
      </rPr>
      <t xml:space="preserve"> TIC § 2251.002 (1-a) </t>
    </r>
    <r>
      <rPr>
        <sz val="12"/>
        <rFont val="Segoe UI"/>
        <family val="2"/>
      </rPr>
      <t>with that prohibits the use in rate calculations of certain administrative expenses that exceed 110% of the industry median. (All LOB except Workers' Compensation and Mortgage Guarantee)</t>
    </r>
  </si>
  <si>
    <r>
      <t xml:space="preserve">Confirm compliance with </t>
    </r>
    <r>
      <rPr>
        <u/>
        <sz val="12"/>
        <color rgb="FF0000FF"/>
        <rFont val="Segoe UI"/>
        <family val="2"/>
      </rPr>
      <t>28 TAC § 5.401</t>
    </r>
    <r>
      <rPr>
        <sz val="12"/>
        <color theme="1"/>
        <rFont val="Segoe UI"/>
        <family val="2"/>
      </rPr>
      <t xml:space="preserve"> regarding prior insurance. </t>
    </r>
    <r>
      <rPr>
        <i/>
        <sz val="12"/>
        <color theme="1"/>
        <rFont val="Segoe UI"/>
        <family val="2"/>
      </rPr>
      <t>(Personal Auto Only)</t>
    </r>
  </si>
  <si>
    <r>
      <rPr>
        <sz val="12"/>
        <rFont val="Segoe UI"/>
        <family val="2"/>
      </rPr>
      <t xml:space="preserve">Confirm compliance with </t>
    </r>
    <r>
      <rPr>
        <u/>
        <sz val="12"/>
        <color theme="10"/>
        <rFont val="Segoe UI"/>
        <family val="2"/>
      </rPr>
      <t>TIC § 1953.051a</t>
    </r>
    <r>
      <rPr>
        <sz val="12"/>
        <rFont val="Segoe UI"/>
        <family val="2"/>
      </rPr>
      <t xml:space="preserve"> which restricts the consideration of traffic violations. (Personal and Commerical Auto only)</t>
    </r>
  </si>
  <si>
    <r>
      <rPr>
        <sz val="12"/>
        <rFont val="Segoe UI"/>
        <family val="2"/>
      </rPr>
      <t xml:space="preserve">Confirm compliance with </t>
    </r>
    <r>
      <rPr>
        <u/>
        <sz val="12"/>
        <color theme="10"/>
        <rFont val="Segoe UI"/>
        <family val="2"/>
      </rPr>
      <t>TIC § 544.353</t>
    </r>
    <r>
      <rPr>
        <sz val="12"/>
        <rFont val="Segoe UI"/>
        <family val="2"/>
      </rPr>
      <t xml:space="preserve"> that restricts the use of water damage claims in the underwriting. (Homeowners only)</t>
    </r>
  </si>
  <si>
    <r>
      <rPr>
        <sz val="12"/>
        <rFont val="Segoe UI"/>
        <family val="2"/>
      </rPr>
      <t xml:space="preserve">Confirm compliance with </t>
    </r>
    <r>
      <rPr>
        <u/>
        <sz val="12"/>
        <color theme="10"/>
        <rFont val="Segoe UI"/>
        <family val="2"/>
      </rPr>
      <t>TIC § 551.107</t>
    </r>
    <r>
      <rPr>
        <sz val="12"/>
        <rFont val="Segoe UI"/>
        <family val="2"/>
      </rPr>
      <t xml:space="preserve"> regarding the consideration of claims for policy renewals and surcharges. (Homeowners only)</t>
    </r>
  </si>
  <si>
    <r>
      <t xml:space="preserve">Confirm compliance with  </t>
    </r>
    <r>
      <rPr>
        <u/>
        <sz val="12"/>
        <color rgb="FF0000FF"/>
        <rFont val="Segoe UI"/>
        <family val="2"/>
      </rPr>
      <t>TIC Chapter 2006 subchapter B</t>
    </r>
    <r>
      <rPr>
        <sz val="12"/>
        <rFont val="Segoe UI"/>
        <family val="2"/>
      </rPr>
      <t xml:space="preserve"> regarding an optional premium discount. </t>
    </r>
    <r>
      <rPr>
        <i/>
        <sz val="12"/>
        <rFont val="Segoe UI"/>
        <family val="2"/>
      </rPr>
      <t>(Homeowners only)</t>
    </r>
  </si>
  <si>
    <r>
      <rPr>
        <sz val="12"/>
        <rFont val="Segoe UI"/>
        <family val="2"/>
      </rPr>
      <t>Confirm compliance with</t>
    </r>
    <r>
      <rPr>
        <u/>
        <sz val="12"/>
        <color theme="10"/>
        <rFont val="Segoe UI"/>
        <family val="2"/>
      </rPr>
      <t xml:space="preserve"> 28 TAC §21.1004  </t>
    </r>
    <r>
      <rPr>
        <sz val="12"/>
        <rFont val="Segoe UI"/>
        <family val="2"/>
      </rPr>
      <t>which restricts the use of certain types of claims in the rating of homeowners insurance.</t>
    </r>
  </si>
  <si>
    <r>
      <t xml:space="preserve">Confirm compliance with </t>
    </r>
    <r>
      <rPr>
        <u/>
        <sz val="12"/>
        <color rgb="FF0000FF"/>
        <rFont val="Segoe UI"/>
        <family val="2"/>
      </rPr>
      <t>28 TAC §21.1006</t>
    </r>
    <r>
      <rPr>
        <sz val="12"/>
        <color rgb="FF0000FF"/>
        <rFont val="Segoe UI"/>
        <family val="2"/>
      </rPr>
      <t xml:space="preserve"> </t>
    </r>
    <r>
      <rPr>
        <sz val="12"/>
        <rFont val="Segoe UI"/>
        <family val="2"/>
      </rPr>
      <t xml:space="preserve">regarding age or value of property. </t>
    </r>
    <r>
      <rPr>
        <i/>
        <sz val="12"/>
        <rFont val="Segoe UI"/>
        <family val="2"/>
      </rPr>
      <t>(Homeowners only)</t>
    </r>
  </si>
  <si>
    <r>
      <rPr>
        <sz val="12"/>
        <rFont val="Segoe UI"/>
        <family val="2"/>
      </rPr>
      <t xml:space="preserve">Confirm compliance with </t>
    </r>
    <r>
      <rPr>
        <u/>
        <sz val="12"/>
        <color theme="10"/>
        <rFont val="Segoe UI"/>
        <family val="2"/>
      </rPr>
      <t>28 TAC § 21.1007</t>
    </r>
    <r>
      <rPr>
        <sz val="12"/>
        <rFont val="Segoe UI"/>
        <family val="2"/>
      </rPr>
      <t xml:space="preserve"> that restricts the use of certain types of claims in the underwriting of homeowners insurance.</t>
    </r>
  </si>
  <si>
    <r>
      <rPr>
        <sz val="12"/>
        <rFont val="Segoe UI"/>
        <family val="2"/>
      </rPr>
      <t xml:space="preserve">Confirm compliance with </t>
    </r>
    <r>
      <rPr>
        <u/>
        <sz val="12"/>
        <color theme="10"/>
        <rFont val="Segoe UI"/>
        <family val="2"/>
      </rPr>
      <t>TIC § 1901.0541</t>
    </r>
    <r>
      <rPr>
        <sz val="12"/>
        <rFont val="Segoe UI"/>
        <family val="2"/>
      </rPr>
      <t xml:space="preserve"> that restricts the use of certain information related to lawsuits in setting premiums or reducing claims-free discounts for medical professional liability insurance.</t>
    </r>
  </si>
  <si>
    <r>
      <rPr>
        <sz val="12"/>
        <rFont val="Segoe UI"/>
        <family val="2"/>
      </rPr>
      <t xml:space="preserve">Confirm compliance with </t>
    </r>
    <r>
      <rPr>
        <u/>
        <sz val="12"/>
        <color theme="10"/>
        <rFont val="Segoe UI"/>
        <family val="2"/>
      </rPr>
      <t>TIC § 1901.055</t>
    </r>
    <r>
      <rPr>
        <sz val="12"/>
        <rFont val="Segoe UI"/>
        <family val="2"/>
      </rPr>
      <t xml:space="preserve"> that prohibits the use of certain claims in assessing claim surcharges for medical professional liability insurance.</t>
    </r>
  </si>
  <si>
    <t>Exhibit C1 - Statewide Average Rate Level Change</t>
  </si>
  <si>
    <t>List all coverages/forms, even those that are not being changed.</t>
  </si>
  <si>
    <t>Coverage/Form</t>
  </si>
  <si>
    <t>Indicated Rate Level Change</t>
  </si>
  <si>
    <t>Proposed Rate Level Change</t>
  </si>
  <si>
    <t>All coverages/forms combined</t>
  </si>
  <si>
    <t>Fee Income</t>
  </si>
  <si>
    <t>Statewide Total</t>
  </si>
  <si>
    <r>
      <t xml:space="preserve">Provide a description of the premium that is used to weight the changes by coverage/form to calculate the statewide rate change.
</t>
    </r>
    <r>
      <rPr>
        <sz val="12"/>
        <color theme="1"/>
        <rFont val="Segoe UI"/>
        <family val="2"/>
      </rPr>
      <t>(Example: In-force premium)</t>
    </r>
  </si>
  <si>
    <t>Where is fee income included in the premium listed above? (If not on a separate line above)</t>
  </si>
  <si>
    <t>As a separate line item</t>
  </si>
  <si>
    <t>With coverage/form premium</t>
  </si>
  <si>
    <t>Exhibit C2 - Statewide Average Rate Change History</t>
  </si>
  <si>
    <t>List the six-year average rate change history.</t>
  </si>
  <si>
    <t>Effective Date (New)</t>
  </si>
  <si>
    <t>Effective Date (Renewal)</t>
  </si>
  <si>
    <t>Rate Change</t>
  </si>
  <si>
    <t>Description</t>
  </si>
  <si>
    <t>TDI file number</t>
  </si>
  <si>
    <t>Exhibit C3 - Overall Impact by Variable</t>
  </si>
  <si>
    <t xml:space="preserve">List the proposed change for each variable (example: base rate, territory) separately for each form/coverage. </t>
  </si>
  <si>
    <t>Attach additional exhibits as needed.</t>
  </si>
  <si>
    <t>Form/Coverage:</t>
  </si>
  <si>
    <t>Variable</t>
  </si>
  <si>
    <t>Proposed Rate Level
Change</t>
  </si>
  <si>
    <t>Do the overall impacts by form/coverage on this exhibit match the overall impacts by form/coverage on the Overall Rate Change Exhibit?</t>
  </si>
  <si>
    <t>If "Does Not Match" is showing, check the forms/coverages listed and their impacts.</t>
  </si>
  <si>
    <t>Exhibit D - Historical Experience</t>
  </si>
  <si>
    <t>Texas (Annual Statement Statutory Page 14)</t>
  </si>
  <si>
    <t>Direct Premiums Written</t>
  </si>
  <si>
    <t>Direct Premiums Earned</t>
  </si>
  <si>
    <t>Direct Losses and DCCE Paid</t>
  </si>
  <si>
    <t>Direct Losses and DCCE Incurred</t>
  </si>
  <si>
    <t>Incurred Loss and DCCE Ratio</t>
  </si>
  <si>
    <t>Countrywide (IEE, Part III)</t>
  </si>
  <si>
    <t>From General Information: Based on Latest Experience Year Date</t>
  </si>
  <si>
    <t>= (5) / (3)</t>
  </si>
  <si>
    <t>= (11) / (9)</t>
  </si>
  <si>
    <t>All other items are company provided.</t>
  </si>
  <si>
    <t>Exhibit E - Expense Information - Including Disallowed</t>
  </si>
  <si>
    <t>Mean Percent</t>
  </si>
  <si>
    <t>Commission and Brokerage Expenses Incurred</t>
  </si>
  <si>
    <t>Taxes, Licenses, and Fees Incurred</t>
  </si>
  <si>
    <t>Other Acquisition Expenses Incurred</t>
  </si>
  <si>
    <t>a)</t>
  </si>
  <si>
    <t>Disallowed Advertising Expenses</t>
  </si>
  <si>
    <t>b)</t>
  </si>
  <si>
    <t>Adjusted Other Acquisition Expenses Incurred</t>
  </si>
  <si>
    <t>General Expenses Incurred</t>
  </si>
  <si>
    <t>Loss Control &amp; Safety Engineering Expenses</t>
  </si>
  <si>
    <t>Lobbying Expenses</t>
  </si>
  <si>
    <t>c)</t>
  </si>
  <si>
    <t>Amounts Paid by an Insurer as Damages in a Suit Against the Insurer for Bad Faith or as Fines or Penalties for Violation of Law</t>
  </si>
  <si>
    <t>d)</t>
  </si>
  <si>
    <t>Contributions to Organizations Engaged in Legislative Advocacy</t>
  </si>
  <si>
    <t>e)</t>
  </si>
  <si>
    <t>Fees &amp; Penalties Imposed on the Insurer for Civil or Criminal Violations of Law</t>
  </si>
  <si>
    <t>f)</t>
  </si>
  <si>
    <t>Contributions to Social, Religious, Political or Fraternal Organizations</t>
  </si>
  <si>
    <t>g)</t>
  </si>
  <si>
    <t>Fees &amp; Assessments Paid to Advisory Organizations</t>
  </si>
  <si>
    <t>h)</t>
  </si>
  <si>
    <t>Disallowed General Expenses</t>
  </si>
  <si>
    <t>i)</t>
  </si>
  <si>
    <t>Adjusted General Expense</t>
  </si>
  <si>
    <t>j)</t>
  </si>
  <si>
    <t>Formula General Expense</t>
  </si>
  <si>
    <t>A&amp;O Expenses Incurred</t>
  </si>
  <si>
    <t>DCCE: Defense and Cost Containment Expense, formerly referred to as Allocated Loss Adjustment Expense (ALAE).
A&amp;O Expenses: Adjusting and Other Expenses, formerly referred to as Unallocated Loss Adjustment Expense (ULAE).</t>
  </si>
  <si>
    <t>Row Descriptions</t>
  </si>
  <si>
    <t>From Exhibit D-Historical Experience.</t>
  </si>
  <si>
    <t>From Exhibit D-Historical Experience</t>
  </si>
  <si>
    <t>Company-provided</t>
  </si>
  <si>
    <t>(10a)</t>
  </si>
  <si>
    <t>(10b)</t>
  </si>
  <si>
    <t>= (10) - (10a)</t>
  </si>
  <si>
    <t>(11a)</t>
  </si>
  <si>
    <t>(11b)</t>
  </si>
  <si>
    <t>(11c)</t>
  </si>
  <si>
    <t>(11d)</t>
  </si>
  <si>
    <t>(11e)</t>
  </si>
  <si>
    <t>(11f)</t>
  </si>
  <si>
    <t>(11g)</t>
  </si>
  <si>
    <t>(11h)</t>
  </si>
  <si>
    <t>= (11b) + (11c) + (11d) + (11e) + (11f) + (11g)</t>
  </si>
  <si>
    <t>(11i)</t>
  </si>
  <si>
    <t>= (11) - (11a) - (11h)</t>
  </si>
  <si>
    <t>(11j)</t>
  </si>
  <si>
    <t>= Minimum[110% Industry Median x CW EP , (11i)] + (11a)</t>
  </si>
  <si>
    <t>Exhibit 1 - Overall Indication</t>
  </si>
  <si>
    <t>(1)</t>
  </si>
  <si>
    <t>Earned
Premium</t>
  </si>
  <si>
    <t>Current Rate Level Factor</t>
  </si>
  <si>
    <t>Premium Trend Factor</t>
  </si>
  <si>
    <t>Projected
Earned Premium
at Current Rate Level</t>
  </si>
  <si>
    <t>Loss Dev. Factor</t>
  </si>
  <si>
    <t>Loss Trend Factor</t>
  </si>
  <si>
    <t>Large Loss Factor</t>
  </si>
  <si>
    <t>Year Weights</t>
  </si>
  <si>
    <t>Total</t>
  </si>
  <si>
    <t>Projected Modeled Cat Loss &amp; LAE Ratio</t>
  </si>
  <si>
    <t>Fixed Expense Provision</t>
  </si>
  <si>
    <t>Projected Loss, LAE, and Fixed Expense Ratio</t>
  </si>
  <si>
    <t>Variable Permissible Loss Ratio</t>
  </si>
  <si>
    <t>Credibility</t>
  </si>
  <si>
    <t>Complement of Credibility</t>
  </si>
  <si>
    <t>Credibility-Weighted Indicated Rate Level Change</t>
  </si>
  <si>
    <t>Column/Row Descriptions</t>
  </si>
  <si>
    <t>From General Information: Five years ending latest experience year</t>
  </si>
  <si>
    <t>From Exhibit 2-Current Rate Level</t>
  </si>
  <si>
    <t>From Exhibit 4B-Premium Trend</t>
  </si>
  <si>
    <t>= (2) x (3) x (4)</t>
  </si>
  <si>
    <t>From Exhibit 6-Loss Development</t>
  </si>
  <si>
    <t>From Exhibit 5B-Loss Trend</t>
  </si>
  <si>
    <t>From Exhibit 7-Large Loss Load</t>
  </si>
  <si>
    <t>= (6) x (7) x (8) x (9)</t>
  </si>
  <si>
    <t>= (10) / (5)</t>
  </si>
  <si>
    <t>= Average of (11), weighted with (12)</t>
  </si>
  <si>
    <t>From Exhibit 8-Non-Modeled Cat</t>
  </si>
  <si>
    <t>From Exhibit 9-Modeled Cat</t>
  </si>
  <si>
    <t>From Exhibit 10-Loss Adjustment Expenses</t>
  </si>
  <si>
    <t>From Exhibit 11-Fixed and Variable Expenses</t>
  </si>
  <si>
    <t>= [(18)/(19) - 1]</t>
  </si>
  <si>
    <t>From Exhibit 14-Credibility</t>
  </si>
  <si>
    <t>= {[1 + (20)] x (21)} + {[1 + (22)] x [1 - (21)]}</t>
  </si>
  <si>
    <t>Exhibit 2 - Current Rate Level Factors</t>
  </si>
  <si>
    <t>Earned Premium</t>
  </si>
  <si>
    <t>Earned Premium at  CRL</t>
  </si>
  <si>
    <t>Rate Change History</t>
  </si>
  <si>
    <t>Effective Date</t>
  </si>
  <si>
    <t>What methodology was used to determine the current rate level factors?</t>
  </si>
  <si>
    <t>If Other, describe the methodology used and provide the detail supporting the factor calculation.</t>
  </si>
  <si>
    <t>From Exhibit 1-Indication</t>
  </si>
  <si>
    <t>= (4) x (5)</t>
  </si>
  <si>
    <t>Exhibit 3 - Trend Period</t>
  </si>
  <si>
    <t>Selected Trend Period</t>
  </si>
  <si>
    <t>Trend From Date</t>
  </si>
  <si>
    <t>Rate Reviews Assumed (Months)</t>
  </si>
  <si>
    <t>Policy Term (Months)</t>
  </si>
  <si>
    <t>Calculated Trend-to Date</t>
  </si>
  <si>
    <t>Alternative Trend-to Date (if used)</t>
  </si>
  <si>
    <t>Historical Trending Period</t>
  </si>
  <si>
    <t>Prospective Trending Period</t>
  </si>
  <si>
    <r>
      <t xml:space="preserve">If the company selected an alternate trend period, explain why.
</t>
    </r>
    <r>
      <rPr>
        <sz val="12"/>
        <color theme="1"/>
        <rFont val="Segoe UI"/>
        <family val="2"/>
      </rPr>
      <t>If any other data or analyses were relied upon, provide them separately.</t>
    </r>
  </si>
  <si>
    <t>Midpoint of last accident year entered on General Information tab</t>
  </si>
  <si>
    <t>Select from drop down.</t>
  </si>
  <si>
    <t>From General Information. Five years ending latest experience year</t>
  </si>
  <si>
    <t>Number of years since most recent year</t>
  </si>
  <si>
    <t>Length of time between (1) and (4) or (1) and (5)</t>
  </si>
  <si>
    <t>Exhibit 4A - Premium Trend</t>
  </si>
  <si>
    <t>Underlying Data</t>
  </si>
  <si>
    <t>Average Premium at Current Rate Level</t>
  </si>
  <si>
    <t>Index</t>
  </si>
  <si>
    <t>Calendar Quarter</t>
  </si>
  <si>
    <t>Exposures</t>
  </si>
  <si>
    <t>Premium at Current Rate Level</t>
  </si>
  <si>
    <t>Quarterly</t>
  </si>
  <si>
    <t>Four-Quarter-Ending</t>
  </si>
  <si>
    <t>Exponential Trend</t>
  </si>
  <si>
    <t>20-point</t>
  </si>
  <si>
    <t>16-point</t>
  </si>
  <si>
    <t>Selected</t>
  </si>
  <si>
    <t>12-point</t>
  </si>
  <si>
    <t>8-point</t>
  </si>
  <si>
    <t>6-point</t>
  </si>
  <si>
    <t>4-point</t>
  </si>
  <si>
    <r>
      <t xml:space="preserve">(3) Provide the source and description of the exposure and premium data.
</t>
    </r>
    <r>
      <rPr>
        <sz val="12"/>
        <color theme="1"/>
        <rFont val="Segoe UI"/>
        <family val="2"/>
      </rPr>
      <t>(Example: Company-specific, dwelling form, earned exposures, earned premium at CRL)</t>
    </r>
  </si>
  <si>
    <t>Exhibit 4B - Premium Trend</t>
  </si>
  <si>
    <t>Selected Premium Trend</t>
  </si>
  <si>
    <t>Historical Premium Trend Factor</t>
  </si>
  <si>
    <t>Prospective Premium Trend Factor</t>
  </si>
  <si>
    <r>
      <t xml:space="preserve">Provide the reasoning for the selected historical and prospective premium trends.  Include any insights on the driving factors of the trend.
</t>
    </r>
    <r>
      <rPr>
        <sz val="12"/>
        <color theme="1"/>
        <rFont val="Segoe UI"/>
        <family val="2"/>
      </rPr>
      <t>If any other data or analyses were relied upon, provide them separately.</t>
    </r>
  </si>
  <si>
    <t>From Exhibit 4A-Premium Trend</t>
  </si>
  <si>
    <t>From Exhibit 3-Trend Period</t>
  </si>
  <si>
    <r>
      <t>= [1.0 + (1)]</t>
    </r>
    <r>
      <rPr>
        <vertAlign val="superscript"/>
        <sz val="12"/>
        <color theme="1"/>
        <rFont val="Segoe UI"/>
        <family val="2"/>
      </rPr>
      <t>(4)</t>
    </r>
  </si>
  <si>
    <r>
      <t>= [1.0 + (2)]</t>
    </r>
    <r>
      <rPr>
        <vertAlign val="superscript"/>
        <sz val="12"/>
        <color theme="1"/>
        <rFont val="Segoe UI"/>
        <family val="2"/>
      </rPr>
      <t>(6)</t>
    </r>
  </si>
  <si>
    <t>= (5) x (7)</t>
  </si>
  <si>
    <t>Exhibit 5A - Non-Catastrophe Loss Trend</t>
  </si>
  <si>
    <t>Non-Catastrophe Data</t>
  </si>
  <si>
    <t>Claims</t>
  </si>
  <si>
    <t>Frequency</t>
  </si>
  <si>
    <t>Severity</t>
  </si>
  <si>
    <t>Pure Premium</t>
  </si>
  <si>
    <r>
      <t xml:space="preserve">(4) Provide the source and description of the exposure, claim, and loss data.
</t>
    </r>
    <r>
      <rPr>
        <sz val="12"/>
        <color theme="1"/>
        <rFont val="Segoe UI"/>
        <family val="2"/>
      </rPr>
      <t>(Example: statewide, company-specific, dwelling form, earned exposures, paid claims, paid losses &amp; DCCE, all perils combined)</t>
    </r>
  </si>
  <si>
    <t>Four-Quarter-Ending Exponential Trend</t>
  </si>
  <si>
    <t>Time Period</t>
  </si>
  <si>
    <t>Selected Trend</t>
  </si>
  <si>
    <t>Exhibit 5B - Non-Catastrophe Loss Trend</t>
  </si>
  <si>
    <t>Selected Loss Trend</t>
  </si>
  <si>
    <t>Historical Loss Trend Factor</t>
  </si>
  <si>
    <t>Prospective Loss Trend Factor</t>
  </si>
  <si>
    <r>
      <t xml:space="preserve">Provide the reasoning for the selected historical and prospective frequency and severity loss trends.  Include any insights on the driving factors of the trend, separately for frequency and severity.
</t>
    </r>
    <r>
      <rPr>
        <sz val="12"/>
        <color theme="1"/>
        <rFont val="Segoe UI"/>
        <family val="2"/>
      </rPr>
      <t>If any other data or analyses were relied upon, provide them separately.</t>
    </r>
  </si>
  <si>
    <t>From Exhibit 5A-Loss Trend</t>
  </si>
  <si>
    <t>From 3-Trend Period</t>
  </si>
  <si>
    <t>Exhibit 5C - Non-Catastrophe Loss Trend</t>
  </si>
  <si>
    <t>This exhibit does not require entry</t>
  </si>
  <si>
    <t>Exhibit 5D - Loss Ratio Trend</t>
  </si>
  <si>
    <t>5-year</t>
  </si>
  <si>
    <t>4-year</t>
  </si>
  <si>
    <t>3-year</t>
  </si>
  <si>
    <t>2-year</t>
  </si>
  <si>
    <t>Selected Net Trend</t>
  </si>
  <si>
    <t>From Exhibit 1-Indication: = [(6) x (7)] / [(2) x (3)]</t>
  </si>
  <si>
    <t>= [1 + Selected Hist. Pure Premium Trend] / [1 + Selected Hist. Premium Trend] - 1.0</t>
  </si>
  <si>
    <t>= [1 + Selected Prosp. Pure Premium Trend] / [1 + Selected Prosp. Premium Trend] - 1.0</t>
  </si>
  <si>
    <t>Prem</t>
  </si>
  <si>
    <t>Pure Premium/
Avg Earned Premium</t>
  </si>
  <si>
    <t>Rate Indications Performed On:</t>
  </si>
  <si>
    <t>Exhibit 6 - Loss Development</t>
  </si>
  <si>
    <t xml:space="preserve">Loss Development Performed On: </t>
  </si>
  <si>
    <t>Basis</t>
  </si>
  <si>
    <t>Incurred</t>
  </si>
  <si>
    <t>Paid</t>
  </si>
  <si>
    <t>Evaluation Month</t>
  </si>
  <si>
    <r>
      <t xml:space="preserve">Provide the source and description of the loss development data.
</t>
    </r>
    <r>
      <rPr>
        <sz val="12"/>
        <color theme="1"/>
        <rFont val="Segoe UI"/>
        <family val="2"/>
      </rPr>
      <t>(Example: countrywide, multiple companies, dwelling form, non-catastrophe)</t>
    </r>
  </si>
  <si>
    <t>Age-to-Age Factors</t>
  </si>
  <si>
    <t>Development Period</t>
  </si>
  <si>
    <t>Various Averages</t>
  </si>
  <si>
    <t>Average</t>
  </si>
  <si>
    <t>All Year Average</t>
  </si>
  <si>
    <t>All Year Ex Hi/Lo</t>
  </si>
  <si>
    <t>7 Year</t>
  </si>
  <si>
    <t>7 Year Ex Hi/Lo</t>
  </si>
  <si>
    <t>5 Year</t>
  </si>
  <si>
    <t>5 Year Ex Hi/Lo</t>
  </si>
  <si>
    <t>4 Year</t>
  </si>
  <si>
    <t>4 Year Ex Hi/Lo</t>
  </si>
  <si>
    <t>3 Year</t>
  </si>
  <si>
    <t>2 Year</t>
  </si>
  <si>
    <t>All Year Geometric Average</t>
  </si>
  <si>
    <t>Selected Factors</t>
  </si>
  <si>
    <t>Selected Age-to-Age</t>
  </si>
  <si>
    <t>Selected Tail Factor</t>
  </si>
  <si>
    <t>Age-to-Ultimate</t>
  </si>
  <si>
    <r>
      <t xml:space="preserve">Provide the reasoning for the selected age-to-age factors, including the tail factor.
</t>
    </r>
    <r>
      <rPr>
        <sz val="12"/>
        <color theme="1"/>
        <rFont val="Segoe UI"/>
        <family val="2"/>
      </rPr>
      <t>If any other data or analyses were relied upon, provide them separately.</t>
    </r>
  </si>
  <si>
    <t xml:space="preserve"> </t>
  </si>
  <si>
    <t>Exhibit 7 - Large Loss Load</t>
  </si>
  <si>
    <t>Section A: Ratio of Uncapped Losses to Capped Non-Cat Losses</t>
  </si>
  <si>
    <t>Excess-to-Capped Ratio</t>
  </si>
  <si>
    <t>Weighted Averages</t>
  </si>
  <si>
    <t>Straight Averages</t>
  </si>
  <si>
    <t>20-Year</t>
  </si>
  <si>
    <t>10-Year</t>
  </si>
  <si>
    <r>
      <rPr>
        <b/>
        <sz val="12"/>
        <color theme="1"/>
        <rFont val="Segoe UI"/>
        <family val="2"/>
      </rPr>
      <t>Provide the source and description of the loss data.</t>
    </r>
    <r>
      <rPr>
        <sz val="12"/>
        <color theme="1"/>
        <rFont val="Segoe UI"/>
        <family val="2"/>
      </rPr>
      <t xml:space="preserve">
(Example: statewide, group level, the cap point)</t>
    </r>
  </si>
  <si>
    <t>Section B: Large Loss Provision Used</t>
  </si>
  <si>
    <t>Selected Large Loss Load.</t>
  </si>
  <si>
    <t>Enter as a ratio of non-catastrophe capped loss.</t>
  </si>
  <si>
    <r>
      <rPr>
        <b/>
        <sz val="12"/>
        <color theme="1"/>
        <rFont val="Segoe UI"/>
        <family val="2"/>
      </rPr>
      <t>Provide the definition of "large loss" used for this provision.</t>
    </r>
    <r>
      <rPr>
        <sz val="12"/>
        <color theme="1"/>
        <rFont val="Segoe UI"/>
        <family val="2"/>
      </rPr>
      <t xml:space="preserve">
If the definition has changed over time, provide all definitions and the corresponding time periods.</t>
    </r>
  </si>
  <si>
    <t>Have there been any deductible shifts over the time period used to determine this provision?</t>
  </si>
  <si>
    <t>If so, describe the shift and the adjustments made to account for this shift.</t>
  </si>
  <si>
    <t>Provide support for line (6), including any trend applied to the non-modeled cat losses.</t>
  </si>
  <si>
    <t>Confirm that the support is attached separately.</t>
  </si>
  <si>
    <t>Have there been any exposure shifts over the time period used to determine this provision?</t>
  </si>
  <si>
    <t>= (1) / (2) - 1</t>
  </si>
  <si>
    <t>Exhibit 8 - Non-Modeled Cat Loss Load</t>
  </si>
  <si>
    <t>Section A: Ratio of Non-Modeled Catastrophe Losses to Capped Non-Catastrophe Losses</t>
  </si>
  <si>
    <t>Cat-to-Non-Cat Ratio</t>
  </si>
  <si>
    <r>
      <rPr>
        <b/>
        <sz val="12"/>
        <color theme="1"/>
        <rFont val="Segoe UI"/>
        <family val="2"/>
      </rPr>
      <t>Provide the source and description of the loss data.</t>
    </r>
    <r>
      <rPr>
        <sz val="12"/>
        <color theme="1"/>
        <rFont val="Segoe UI"/>
        <family val="2"/>
      </rPr>
      <t xml:space="preserve">
(Example: statewide, group level, dwelling form, all non-cat and non-modeled cat perils combined)</t>
    </r>
  </si>
  <si>
    <t>Section B: Non-Modeled Catastrophe Loss Provision Used</t>
  </si>
  <si>
    <t>Is the non-modeled catastrophe provision used in the ratemaking calculated as a ratio to the non-catastrophe losses or as a ratio to the projected earned premium?</t>
  </si>
  <si>
    <r>
      <rPr>
        <b/>
        <sz val="12"/>
        <color theme="1"/>
        <rFont val="Segoe UI"/>
        <family val="2"/>
      </rPr>
      <t>Provide the definition of "catastrophe" used for this provision.</t>
    </r>
    <r>
      <rPr>
        <sz val="12"/>
        <color theme="1"/>
        <rFont val="Segoe UI"/>
        <family val="2"/>
      </rPr>
      <t xml:space="preserve">
If the definition has changed over time, provide all definitions and the corresponding time periods.</t>
    </r>
  </si>
  <si>
    <t>Provide support for line (9), including any trend applied to the non-modeled cat losses.</t>
  </si>
  <si>
    <t>= (1) / (2)</t>
  </si>
  <si>
    <t>Exhibit 9 - Modeled Catastrophe Losses</t>
  </si>
  <si>
    <t>Is a catastrophe model used to estimate any catastrophe losses?</t>
  </si>
  <si>
    <t>Section A: Catastrophe Model Details</t>
  </si>
  <si>
    <t>Type of Loss</t>
  </si>
  <si>
    <t>Model
Vendor</t>
  </si>
  <si>
    <t>Model
Name</t>
  </si>
  <si>
    <t>Model
Version</t>
  </si>
  <si>
    <t>Demand
Surge</t>
  </si>
  <si>
    <t>Storm
Surge</t>
  </si>
  <si>
    <t>Storm
Activity</t>
  </si>
  <si>
    <t>Near-term</t>
  </si>
  <si>
    <t>Long-term</t>
  </si>
  <si>
    <t>Medium-term</t>
  </si>
  <si>
    <t>Included</t>
  </si>
  <si>
    <t>Not Included</t>
  </si>
  <si>
    <t>Describe all other assumptions and adjustments made to the model input or output.</t>
  </si>
  <si>
    <t>Exposure Distribution as of:</t>
  </si>
  <si>
    <t xml:space="preserve">Confirm that the exposure distribution expected during the time the rates will be in effect is consistent with the exposure distribution used to produce the modeled results.                                                                       </t>
  </si>
  <si>
    <t>Provide the model’s analysis summary report.</t>
  </si>
  <si>
    <r>
      <rPr>
        <b/>
        <sz val="11"/>
        <rFont val="Calibri"/>
        <family val="2"/>
      </rPr>
      <t xml:space="preserve">Refer to Commissioner’s Bulletin #B-0030-10 at </t>
    </r>
    <r>
      <rPr>
        <b/>
        <u/>
        <sz val="11"/>
        <color theme="10"/>
        <rFont val="Calibri"/>
        <family val="2"/>
      </rPr>
      <t>www.tdi.texas.gov/bulletins/2010/cc29.html</t>
    </r>
    <r>
      <rPr>
        <b/>
        <sz val="11"/>
        <rFont val="Calibri"/>
        <family val="2"/>
      </rPr>
      <t xml:space="preserve"> and provide all the support required when using catastrophe models in ratemaking.  Confirm that the following  support is provided:</t>
    </r>
  </si>
  <si>
    <t>Comparison of the actual historical experience with the expected annual losses from the applicable catastrophe model</t>
  </si>
  <si>
    <t>Explanation for any differences between the actual historical experience and modeled expected losses</t>
  </si>
  <si>
    <t>Information on the model, including the number of simulated storms by intensity and the types of storms (including their
      meteorological characteristics) or events modeled</t>
  </si>
  <si>
    <t>Description of the company-supplied inputs to the model</t>
  </si>
  <si>
    <t>Company adjustments to the model or to the model output, including optional modeling features selected</t>
  </si>
  <si>
    <t>Description of how the modeled results were integrated with the actual historical experience so as to avoid double-counting or understating expected future losses</t>
  </si>
  <si>
    <t>Section B: Catastrophe Model Output</t>
  </si>
  <si>
    <t>Model &amp; Loss Type</t>
  </si>
  <si>
    <t>Projected Average Annualized Loss</t>
  </si>
  <si>
    <t>LAE as a Percent of AAL</t>
  </si>
  <si>
    <t>Projected Earned Premium at Current Rate Level</t>
  </si>
  <si>
    <t>Projected Modeled Cat
Loss &amp; LAE Ratio</t>
  </si>
  <si>
    <t>Weight</t>
  </si>
  <si>
    <t>Modeled Cat Loss &amp; LAE Ratio Used in Previous Rate Filing</t>
  </si>
  <si>
    <t>Are the projected modeled cat loss &amp; LAE ratios net or gross of reinsurance recoverables?</t>
  </si>
  <si>
    <t>Gross</t>
  </si>
  <si>
    <t>Explain any differences between the modeled cat loss ratios used in this rate filing and those used in the previous rate filing.</t>
  </si>
  <si>
    <t>Exhibit 10 - Loss Adjustment Expenses</t>
  </si>
  <si>
    <t>Countrywide Incurred A&amp;O</t>
  </si>
  <si>
    <t>Countrywide A&amp;O Ratio</t>
  </si>
  <si>
    <t>A&amp;O Ratio</t>
  </si>
  <si>
    <t>If any other data or analyses were relied upon, provide them separately.</t>
  </si>
  <si>
    <t>From Exhibit E-Expense</t>
  </si>
  <si>
    <t>= (5) / (2)</t>
  </si>
  <si>
    <t>= (1)</t>
  </si>
  <si>
    <t>Exhibit 11 - Fixed and Variable Expenses</t>
  </si>
  <si>
    <t>Expense Category</t>
  </si>
  <si>
    <t>General Expense</t>
  </si>
  <si>
    <t>Countrywide Expenses</t>
  </si>
  <si>
    <t>Loss Control &amp; Safety Engineering Exp.</t>
  </si>
  <si>
    <t>Disallowed Expenses</t>
  </si>
  <si>
    <t>Adjusted Administrative Expenses</t>
  </si>
  <si>
    <t>Countrywide Earned Premium</t>
  </si>
  <si>
    <t>Administrative Expense Ratio</t>
  </si>
  <si>
    <t>1)</t>
  </si>
  <si>
    <t>110% of Industry Median</t>
  </si>
  <si>
    <t>2)</t>
  </si>
  <si>
    <t>Formula Adjusted Gen Expense Ratio</t>
  </si>
  <si>
    <t>Percent Assumed Fixed</t>
  </si>
  <si>
    <t>Fixed General Expense</t>
  </si>
  <si>
    <t>Variable General Expense</t>
  </si>
  <si>
    <t>Other Acquisition</t>
  </si>
  <si>
    <t>Adjusted Countrywide Expenses</t>
  </si>
  <si>
    <t>Countrywide Written Premium</t>
  </si>
  <si>
    <t>Expense Ratio</t>
  </si>
  <si>
    <t>Fixed Other Acquisition Expense</t>
  </si>
  <si>
    <t>Variable Other Acquisition Expense</t>
  </si>
  <si>
    <t>Commission and Brokerage</t>
  </si>
  <si>
    <t>Statewide Expenses</t>
  </si>
  <si>
    <t>Adjusted Statewide Expenses</t>
  </si>
  <si>
    <t>Statewide Written Premium</t>
  </si>
  <si>
    <t>Fixed Commission Expense</t>
  </si>
  <si>
    <t>Variable Commission Expense</t>
  </si>
  <si>
    <t>Taxes, Licenses, and Fees</t>
  </si>
  <si>
    <t>Fixed Taxes, Licenses, Fees Expense</t>
  </si>
  <si>
    <t>Variable Taxes, Licenses, Fees Expense</t>
  </si>
  <si>
    <t>Profit and Risk Provisions</t>
  </si>
  <si>
    <t>Fixed Other Risk Provision Not Included as Underwriting Profit</t>
  </si>
  <si>
    <t>Variable Underwriting Profit and Variable Other Risk Provision Not Included as Underwriting Profit</t>
  </si>
  <si>
    <t>Total Profit and Risk Provisions</t>
  </si>
  <si>
    <t>Expense Offset from Fee Income</t>
  </si>
  <si>
    <t>Fixed Expense Offset</t>
  </si>
  <si>
    <t>Variable Expense Offset</t>
  </si>
  <si>
    <t>Total Expense Offset from Fee Income</t>
  </si>
  <si>
    <t>Total Expense Provisions</t>
  </si>
  <si>
    <t>Total Fixed Expense Provision</t>
  </si>
  <si>
    <t>Total Variable Expense Provision</t>
  </si>
  <si>
    <t>Total Expense Provision</t>
  </si>
  <si>
    <r>
      <t xml:space="preserve">Confirm compliance with </t>
    </r>
    <r>
      <rPr>
        <u/>
        <sz val="11"/>
        <color rgb="FF0000FF"/>
        <rFont val="Calibri"/>
        <family val="2"/>
      </rPr>
      <t>Tex. Ins. Code § 2251.002</t>
    </r>
    <r>
      <rPr>
        <sz val="11"/>
        <color theme="1"/>
        <rFont val="Calibri"/>
        <family val="2"/>
      </rPr>
      <t>, which prohibits the use in rate calculations of certain administrative expenses that exceed 110% of the industry median (shown in (1e</t>
    </r>
    <r>
      <rPr>
        <sz val="8"/>
        <color theme="1"/>
        <rFont val="Calibri"/>
        <family val="2"/>
      </rPr>
      <t>1</t>
    </r>
    <r>
      <rPr>
        <sz val="11"/>
        <color theme="1"/>
        <rFont val="Calibri"/>
        <family val="2"/>
      </rPr>
      <t>) under General Expense).</t>
    </r>
  </si>
  <si>
    <t>If none of the general or other acquisition expenses are treated as fixed, explain why these expenses are entirely based on the premium level rather than the number of policies.  Usually, some general and other acquisition expenses do not vary with the premium level and should be treated as fixed expenses in the rate indication.</t>
  </si>
  <si>
    <r>
      <t xml:space="preserve">Provide reasoning for the selected General Expense provision.
</t>
    </r>
    <r>
      <rPr>
        <sz val="11"/>
        <color theme="1"/>
        <rFont val="Calibri"/>
        <family val="2"/>
      </rPr>
      <t>If any other data or analyses were relied upon, provide them separately.</t>
    </r>
  </si>
  <si>
    <r>
      <t>Provide reasoning for the selected Other Acquisition Expense provision</t>
    </r>
    <r>
      <rPr>
        <sz val="11"/>
        <color theme="1"/>
        <rFont val="Calibri"/>
        <family val="2"/>
      </rPr>
      <t>.
If any other data or analyses were relied upon, provide them separately.</t>
    </r>
  </si>
  <si>
    <r>
      <t xml:space="preserve">Provide reasoning for the selected Commission and Brokerage provision.
</t>
    </r>
    <r>
      <rPr>
        <sz val="11"/>
        <color theme="1"/>
        <rFont val="Calibri"/>
        <family val="2"/>
      </rPr>
      <t>If any other data or analyses were relied upon, provide them separately.</t>
    </r>
  </si>
  <si>
    <r>
      <t xml:space="preserve">Provide reasoning for the selected Taxes, Licenses, and Fees Expense provision.
</t>
    </r>
    <r>
      <rPr>
        <sz val="11"/>
        <color theme="1"/>
        <rFont val="Calibri"/>
        <family val="2"/>
      </rPr>
      <t>If any other data or analyses were relied upon, provide them separately.</t>
    </r>
  </si>
  <si>
    <r>
      <t>(1f</t>
    </r>
    <r>
      <rPr>
        <sz val="8"/>
        <color theme="1"/>
        <rFont val="Calibri"/>
        <family val="2"/>
      </rPr>
      <t>1)</t>
    </r>
  </si>
  <si>
    <r>
      <rPr>
        <sz val="10"/>
        <rFont val="Calibri"/>
        <family val="2"/>
      </rPr>
      <t xml:space="preserve">From </t>
    </r>
    <r>
      <rPr>
        <u/>
        <sz val="10"/>
        <color theme="10"/>
        <rFont val="Calibri"/>
        <family val="2"/>
      </rPr>
      <t>TDI website</t>
    </r>
    <r>
      <rPr>
        <sz val="10"/>
        <color theme="10"/>
        <rFont val="Calibri"/>
        <family val="2"/>
      </rPr>
      <t>;</t>
    </r>
    <r>
      <rPr>
        <sz val="10"/>
        <rFont val="Calibri"/>
        <family val="2"/>
      </rPr>
      <t xml:space="preserve"> companies can use the average of the years published for years not published.</t>
    </r>
  </si>
  <si>
    <t>(a)</t>
  </si>
  <si>
    <t>(b)</t>
  </si>
  <si>
    <r>
      <t>(1f</t>
    </r>
    <r>
      <rPr>
        <sz val="8"/>
        <color theme="1"/>
        <rFont val="Calibri"/>
        <family val="2"/>
      </rPr>
      <t>2)</t>
    </r>
  </si>
  <si>
    <r>
      <t>= Min [(1e),(1e</t>
    </r>
    <r>
      <rPr>
        <sz val="8"/>
        <color theme="1"/>
        <rFont val="Calibri"/>
        <family val="2"/>
      </rPr>
      <t>1</t>
    </r>
    <r>
      <rPr>
        <sz val="10"/>
        <color theme="1"/>
        <rFont val="Calibri"/>
        <family val="2"/>
      </rPr>
      <t>)] + (1b)  / (1d)</t>
    </r>
  </si>
  <si>
    <t>(c)</t>
  </si>
  <si>
    <t>(d)</t>
  </si>
  <si>
    <t>= (a) - (b) - (c)</t>
  </si>
  <si>
    <t>(e)</t>
  </si>
  <si>
    <t>(f)</t>
  </si>
  <si>
    <t>= (c) / (d)</t>
  </si>
  <si>
    <t>(g)</t>
  </si>
  <si>
    <t>From Exhibit 12-Reinsurance</t>
  </si>
  <si>
    <t>(h)</t>
  </si>
  <si>
    <t>= (f)Selected x (g)</t>
  </si>
  <si>
    <t>From Exhibit 13A-Profit</t>
  </si>
  <si>
    <t>(i)</t>
  </si>
  <si>
    <t>= (f)Selected x [1.0 - (g)]</t>
  </si>
  <si>
    <t>From Exhibit 15-Fees</t>
  </si>
  <si>
    <t>(8a)</t>
  </si>
  <si>
    <t>= (1h) + (2g) + (3g) + (4g) + (5a) + (6a) - (7a)</t>
  </si>
  <si>
    <t>(2) through (4)</t>
  </si>
  <si>
    <t>(8b)</t>
  </si>
  <si>
    <t>= (1i) + (2h) + (3h) + (4h) + (5b) + (6b) - (7b)</t>
  </si>
  <si>
    <t>(8c)</t>
  </si>
  <si>
    <t>= (8a) + (8b)</t>
  </si>
  <si>
    <t>= 1.0 - (8b)</t>
  </si>
  <si>
    <t>= (a) - (b)</t>
  </si>
  <si>
    <t>(3) and (4):</t>
  </si>
  <si>
    <t>Exhibit 12 - Reinsurance</t>
  </si>
  <si>
    <t>Provision</t>
  </si>
  <si>
    <t>Amount</t>
  </si>
  <si>
    <t>Reinsurance Prem (Less Ceding Comm.)</t>
  </si>
  <si>
    <t>Expected Reinsurance Recoverables</t>
  </si>
  <si>
    <t>Expected Retained Losses</t>
  </si>
  <si>
    <t>If the reinsurance expense is treated as variable, explain why it is based on the premium level rather than the number of policies.  Usually, the reinsurance expense is based on the number of policies and should be treated as a fixed expense in the rate indication.</t>
  </si>
  <si>
    <t>Describe the methodology used to allocate reinsurance costs to Texas.</t>
  </si>
  <si>
    <t>Are the model(s) and parameters used to estimate the expected reinsurance recoverables in row (2) the same as the model(s) and parameters used to estimate the modeled cat losses in Exhibit 8?</t>
  </si>
  <si>
    <t>If not, provide all the details requested in lines (2) through (13) in Exhibit 8 for the model used to estimate expected reinsurance recoverables, and explain why a different model or parameters were used.</t>
  </si>
  <si>
    <t>Describe all the reinsurance arrangements that result in expenses included in the ratemaking.</t>
  </si>
  <si>
    <t>Are any of the reinsurers that are involved in these arrangements affiliated companies?</t>
  </si>
  <si>
    <t>If so, explain the arrangements specifically with those companies.</t>
  </si>
  <si>
    <t>= (15) Total from Exhibit 8-Modeled Cat</t>
  </si>
  <si>
    <t>= (5) / (6)</t>
  </si>
  <si>
    <t>All other items are company-provided.</t>
  </si>
  <si>
    <t>Exhibit 13A - Profit</t>
  </si>
  <si>
    <t>Target After-Tax Return on GAAP Equity</t>
  </si>
  <si>
    <t>Ratio of GAAP Equity to Statutory Surplus</t>
  </si>
  <si>
    <t>Target After-Tax Return on Statutory Surplus</t>
  </si>
  <si>
    <t>Before-Tax Rate of Return on Invested Assets</t>
  </si>
  <si>
    <t>Average Tax Rate on Investment Income</t>
  </si>
  <si>
    <t>After-Tax Rate of Return on Invested Assets</t>
  </si>
  <si>
    <t>Required After-Tax Return on Statutory Surplus</t>
  </si>
  <si>
    <t>Net Earned Premium - Latest Calendar Year</t>
  </si>
  <si>
    <t>Beginning Statutory Surplus - Latest Calendar Year</t>
  </si>
  <si>
    <t>Ending Statutory Surplus - Latest Calendar Year</t>
  </si>
  <si>
    <t>Premium-to-Surplus Ratio - Latest Calendar Year</t>
  </si>
  <si>
    <t>Target Premium-to-Surplus Ratio</t>
  </si>
  <si>
    <t>Before-Tax Inv. Income on Policyholder Funds (as a Ratio to Premium)</t>
  </si>
  <si>
    <t>Before-Tax Other Underwriting Income (as a Ratio to Premium)</t>
  </si>
  <si>
    <t>Income Tax Rate on Underwriting Income</t>
  </si>
  <si>
    <t>Required Underwriting Profit Provision</t>
  </si>
  <si>
    <t>Selected Underwriting Profit Provision:</t>
  </si>
  <si>
    <t>Other Risk Provisions Not Included As Underwriting Profit:</t>
  </si>
  <si>
    <t>Are the other risk provisions fixed or variable provisions?</t>
  </si>
  <si>
    <t>Fixed</t>
  </si>
  <si>
    <r>
      <t xml:space="preserve">Confirm that support for lines (1), (2), (4), (5), (12), (13), and (18) is attached separately.
</t>
    </r>
    <r>
      <rPr>
        <sz val="12"/>
        <color theme="1"/>
        <rFont val="Segoe UI"/>
        <family val="2"/>
      </rPr>
      <t>If any other data or analyses were relied upon, provide them separately as well.</t>
    </r>
  </si>
  <si>
    <t>Explain any differences between line (16) and line (17).</t>
  </si>
  <si>
    <t>= (8) / {[(9) + (10)] / 2.0}</t>
  </si>
  <si>
    <t>= (1) x (2)</t>
  </si>
  <si>
    <t>= (4) x [1.0 - (5)]</t>
  </si>
  <si>
    <t>= (3) - (6)</t>
  </si>
  <si>
    <t>= { (7) / (12) - (13) x [1.0 - (5)] - (14) x [1.0 - (15)] } / [1.0 - (15)]</t>
  </si>
  <si>
    <t>Exhibit 13B - Effective Return on Equity</t>
  </si>
  <si>
    <t>This exhibit does not require any entry.</t>
  </si>
  <si>
    <t>Income Source</t>
  </si>
  <si>
    <t>After-Tax Income From Underwriting Profit Provision</t>
  </si>
  <si>
    <t xml:space="preserve">After-Tax Income From Other Risk Provisions     </t>
  </si>
  <si>
    <t>After-Tax Other Underwriting Income</t>
  </si>
  <si>
    <t>After-Tax Investment Income on Policyholder Funds</t>
  </si>
  <si>
    <t>After-Tax Investment Income on Surplus</t>
  </si>
  <si>
    <t>Target Premium to Surplus Ratio</t>
  </si>
  <si>
    <t>Total After-Tax Return on Statutory Surplus</t>
  </si>
  <si>
    <t>Total After-Tax Return on GAAP Equity</t>
  </si>
  <si>
    <t>From Exhibit 13A-Profit: = (17) x [1.0 - (15)]</t>
  </si>
  <si>
    <t>From Exhibit 13A-Profit: = (18) x [1.0 - (15)]</t>
  </si>
  <si>
    <t>From Exhibit 13A-Profit: = (14) x [1.0 - (15)]</t>
  </si>
  <si>
    <t>From Exhibit 13A-Profit: = (13)  x [1.0 - (5)]</t>
  </si>
  <si>
    <t>From Exhibit 13A-Profit: = (6)</t>
  </si>
  <si>
    <t>From Exhibit 13A-Profit: = (12)</t>
  </si>
  <si>
    <t>= { [(1) + (2) + (3) + (4)] x (6) } + (5)</t>
  </si>
  <si>
    <t>From Exhibit 13A-Profit: = (2)</t>
  </si>
  <si>
    <t>= (7) / (8)</t>
  </si>
  <si>
    <t>Exhibit 14 - Credibility</t>
  </si>
  <si>
    <t>Selection</t>
  </si>
  <si>
    <t>Total Num. of Claims/Expos. Used for Cred.</t>
  </si>
  <si>
    <t>Methodology Used to Calculate Partial Credibility</t>
  </si>
  <si>
    <t>Square root rule</t>
  </si>
  <si>
    <t>Net Trend</t>
  </si>
  <si>
    <t>Trend Period</t>
  </si>
  <si>
    <t>Alternative Complement of Credibility</t>
  </si>
  <si>
    <r>
      <t xml:space="preserve">Provide the source and description of the number of claims/exposures used for credibility.
</t>
    </r>
    <r>
      <rPr>
        <sz val="12"/>
        <color theme="1"/>
        <rFont val="Segoe UI"/>
        <family val="2"/>
      </rPr>
      <t>(Example: Company-specific paid claims for the experience period, dwelling form)</t>
    </r>
  </si>
  <si>
    <t>Explain how the standard for full credibility was determined.</t>
  </si>
  <si>
    <t>If a formula other than the square root rule or N/(N+K) was used to determine partial credibility, provide the fomula and explain.</t>
  </si>
  <si>
    <t>N/(N+K)</t>
  </si>
  <si>
    <t>If an alternative complement of credibility is used instead of the net trend, provide the details and support for the selection.</t>
  </si>
  <si>
    <t>From Exhibit 5D-Loss Ratio Trend</t>
  </si>
  <si>
    <t>Time between effective dates of current rates and proposed rates (YEARFRAC function)</t>
  </si>
  <si>
    <r>
      <t>= [1 + (4)]</t>
    </r>
    <r>
      <rPr>
        <vertAlign val="superscript"/>
        <sz val="12"/>
        <color theme="1"/>
        <rFont val="Segoe UI"/>
        <family val="2"/>
      </rPr>
      <t>(5)</t>
    </r>
    <r>
      <rPr>
        <sz val="12"/>
        <color theme="1"/>
        <rFont val="Segoe UI"/>
        <family val="2"/>
      </rPr>
      <t xml:space="preserve"> - 1.0</t>
    </r>
  </si>
  <si>
    <t>Company-provided, if desired</t>
  </si>
  <si>
    <t>Exhibit 15 - Fees</t>
  </si>
  <si>
    <t>List all fees below.</t>
  </si>
  <si>
    <t>For ratemaking purposes, fee income must be on-leveled and reflected in the ratemaking data by either including it with earned premium or as an offset to expenses.</t>
  </si>
  <si>
    <t>Fee Name</t>
  </si>
  <si>
    <t>Fee Amount
New Business</t>
  </si>
  <si>
    <t>Fee Amount
Renewals</t>
  </si>
  <si>
    <t>Fully Earned</t>
  </si>
  <si>
    <t>Included with Earned Premium</t>
  </si>
  <si>
    <t>Used as an Expense Offset</t>
  </si>
  <si>
    <t>Fee-Y</t>
  </si>
  <si>
    <t>EP</t>
  </si>
  <si>
    <t>Expense Offset</t>
  </si>
  <si>
    <t>EP + Exp</t>
  </si>
  <si>
    <t>EP &amp; Exp-No</t>
  </si>
  <si>
    <t>Policy</t>
  </si>
  <si>
    <t>Late</t>
  </si>
  <si>
    <t>Installment</t>
  </si>
  <si>
    <t>Insufficient Funds</t>
  </si>
  <si>
    <t>Reinstatement</t>
  </si>
  <si>
    <t>Inspection</t>
  </si>
  <si>
    <t>Texas Volunteer FD Assistance</t>
  </si>
  <si>
    <t>For fees that are included with earned premium, provide the total amount included with earned premium, separately by experience period.</t>
  </si>
  <si>
    <t>For fees that are used as an offset to expenses, list the category of expense that each fee is offsetting.</t>
  </si>
  <si>
    <t>Total Fixed Expense Offset as a Percentage of the Premium Used to Calculate the Expense Category:</t>
  </si>
  <si>
    <t>Enter a negative offset as a positive number.</t>
  </si>
  <si>
    <t>Provide the calculation for this offset.</t>
  </si>
  <si>
    <t>Variable Expense Offset as a Percentage of the Premium Used to Calculate the Expense Category:</t>
  </si>
  <si>
    <t>If any fee is neither included with earned premium or used as an offset to expenses for ratemaking purposes, provide the details on how it is reflected in ratemaking or explain why it is not reflected in ratemaking.</t>
  </si>
  <si>
    <t>Exhibit 16 - Policyholder Impact</t>
  </si>
  <si>
    <t>Note: This exhibit is required on most owner-occupied homeowners and personal auto, but may be requested on other lines. See TAC § 5.9334(h)(7).</t>
  </si>
  <si>
    <t>Minimum Impact</t>
  </si>
  <si>
    <t>Maximum Impact</t>
  </si>
  <si>
    <t>Rate Change Interval</t>
  </si>
  <si>
    <t># of Policies</t>
  </si>
  <si>
    <t>% of Policies</t>
  </si>
  <si>
    <t>No Change</t>
  </si>
  <si>
    <t>Provide the factors that contributed to the maximum impact and minimum impact.</t>
  </si>
  <si>
    <t>Footnotes and Column/Row Descriptions</t>
  </si>
  <si>
    <t>TAC 5.9334 § (h)(7): "(7) policyholder impact information for owner-occupied homeowner and personal automobile filings that include changes that will result in a difference between the minimum and maximum policyholder impact that is greater than 5%"</t>
  </si>
  <si>
    <t>Automatically populated based on (1) and (2)</t>
  </si>
  <si>
    <t>= (5) / (5)Total</t>
  </si>
  <si>
    <t>All other items company-provided</t>
  </si>
  <si>
    <t>Exhibit 17 - Avg Rate Change by County</t>
  </si>
  <si>
    <t>This exhibit is only required for owner-occupied homeowners , but may be requested on other lines. See TAC § 5.9334(h)(8).</t>
  </si>
  <si>
    <t>Benchmark
Territory</t>
  </si>
  <si>
    <t>County</t>
  </si>
  <si>
    <t>Average Rate Change</t>
  </si>
  <si>
    <t>Harris</t>
  </si>
  <si>
    <t>Galveston</t>
  </si>
  <si>
    <t>Nueces</t>
  </si>
  <si>
    <t>Aransas</t>
  </si>
  <si>
    <t>Brazoria</t>
  </si>
  <si>
    <t>Calhoun</t>
  </si>
  <si>
    <t>Cameron</t>
  </si>
  <si>
    <t>Chambers</t>
  </si>
  <si>
    <t>Jefferson</t>
  </si>
  <si>
    <t>Kenedy</t>
  </si>
  <si>
    <t>Kleberg</t>
  </si>
  <si>
    <t>Matagorda</t>
  </si>
  <si>
    <t>Refugio</t>
  </si>
  <si>
    <t>San Patricio</t>
  </si>
  <si>
    <t>Willacy</t>
  </si>
  <si>
    <t>Bee</t>
  </si>
  <si>
    <t>Brooks</t>
  </si>
  <si>
    <t>Fort Bend</t>
  </si>
  <si>
    <t>Goliad</t>
  </si>
  <si>
    <t>Hardin</t>
  </si>
  <si>
    <t>Hidalgo</t>
  </si>
  <si>
    <t>Jackson</t>
  </si>
  <si>
    <t>Jim Wells</t>
  </si>
  <si>
    <t>Liberty</t>
  </si>
  <si>
    <t>Live Oak</t>
  </si>
  <si>
    <t>Orange</t>
  </si>
  <si>
    <t>Victoria</t>
  </si>
  <si>
    <t>Wharton</t>
  </si>
  <si>
    <t>Dallas</t>
  </si>
  <si>
    <t>Tarrant</t>
  </si>
  <si>
    <t>Collin</t>
  </si>
  <si>
    <t>Denton</t>
  </si>
  <si>
    <t>Rockwall</t>
  </si>
  <si>
    <t>Bexar</t>
  </si>
  <si>
    <t>Travis</t>
  </si>
  <si>
    <t>El Paso</t>
  </si>
  <si>
    <t>Atascosa</t>
  </si>
  <si>
    <t>Bandera</t>
  </si>
  <si>
    <t>Dimmit</t>
  </si>
  <si>
    <t>Duval</t>
  </si>
  <si>
    <t>Edwards</t>
  </si>
  <si>
    <t>Frio</t>
  </si>
  <si>
    <t>Jim Hogg</t>
  </si>
  <si>
    <t>Kerr</t>
  </si>
  <si>
    <t>Kinney</t>
  </si>
  <si>
    <t>La Salle</t>
  </si>
  <si>
    <t>Maverick</t>
  </si>
  <si>
    <t>McMullen</t>
  </si>
  <si>
    <t>Medina</t>
  </si>
  <si>
    <t>Real</t>
  </si>
  <si>
    <t>Starr</t>
  </si>
  <si>
    <t>Uvalde</t>
  </si>
  <si>
    <t>Val Verde</t>
  </si>
  <si>
    <t>Webb</t>
  </si>
  <si>
    <t>Zapata</t>
  </si>
  <si>
    <t>Zavala</t>
  </si>
  <si>
    <t>Austin</t>
  </si>
  <si>
    <t>Bastrop</t>
  </si>
  <si>
    <t>Bell</t>
  </si>
  <si>
    <t>Blanco</t>
  </si>
  <si>
    <t>Brazos</t>
  </si>
  <si>
    <t>Burleson</t>
  </si>
  <si>
    <t>Burnet</t>
  </si>
  <si>
    <t>Caldwell</t>
  </si>
  <si>
    <t>Colorado</t>
  </si>
  <si>
    <t>Comal</t>
  </si>
  <si>
    <t>Coryell</t>
  </si>
  <si>
    <t>De Witt</t>
  </si>
  <si>
    <t>Falls</t>
  </si>
  <si>
    <t>Fayette</t>
  </si>
  <si>
    <t>Gillespie</t>
  </si>
  <si>
    <t>Gonzales</t>
  </si>
  <si>
    <t>Guadalupe</t>
  </si>
  <si>
    <t>Hays</t>
  </si>
  <si>
    <t>Karnes</t>
  </si>
  <si>
    <t>Kendall</t>
  </si>
  <si>
    <t>Kimble</t>
  </si>
  <si>
    <t>Lampasas</t>
  </si>
  <si>
    <t>Lavaca</t>
  </si>
  <si>
    <t>Lee</t>
  </si>
  <si>
    <t>Llano</t>
  </si>
  <si>
    <t>Mason</t>
  </si>
  <si>
    <t>Menard</t>
  </si>
  <si>
    <t>Milam</t>
  </si>
  <si>
    <t>Robertson</t>
  </si>
  <si>
    <t>San Saba</t>
  </si>
  <si>
    <t>Washington</t>
  </si>
  <si>
    <t>Williamson</t>
  </si>
  <si>
    <t>Wilson</t>
  </si>
  <si>
    <t>Anderson</t>
  </si>
  <si>
    <t>Angelina</t>
  </si>
  <si>
    <t>Cherokee</t>
  </si>
  <si>
    <t>Ellis</t>
  </si>
  <si>
    <t>Freestone</t>
  </si>
  <si>
    <t>Gregg</t>
  </si>
  <si>
    <t>Grimes</t>
  </si>
  <si>
    <t>Henderson</t>
  </si>
  <si>
    <t>Houston</t>
  </si>
  <si>
    <t>Jasper</t>
  </si>
  <si>
    <t>Leon</t>
  </si>
  <si>
    <t>Limestone</t>
  </si>
  <si>
    <t>Madison</t>
  </si>
  <si>
    <t>Montgomery</t>
  </si>
  <si>
    <t>Nacogdoches</t>
  </si>
  <si>
    <t>Navarro</t>
  </si>
  <si>
    <t>Newton</t>
  </si>
  <si>
    <t>Panola</t>
  </si>
  <si>
    <t>Polk</t>
  </si>
  <si>
    <t>Rusk</t>
  </si>
  <si>
    <t>Sabine</t>
  </si>
  <si>
    <t>San Augustine</t>
  </si>
  <si>
    <t>San Jacinto</t>
  </si>
  <si>
    <t>Shelby</t>
  </si>
  <si>
    <t>Smith</t>
  </si>
  <si>
    <t>Trinity</t>
  </si>
  <si>
    <t>Tyler</t>
  </si>
  <si>
    <t>Walker</t>
  </si>
  <si>
    <t>Waller</t>
  </si>
  <si>
    <t>15C</t>
  </si>
  <si>
    <t>Brewster</t>
  </si>
  <si>
    <t>Crockett</t>
  </si>
  <si>
    <t>Culberson</t>
  </si>
  <si>
    <t>Hudspeth</t>
  </si>
  <si>
    <t>Jeff Davis</t>
  </si>
  <si>
    <t>Loving</t>
  </si>
  <si>
    <t>Pecos</t>
  </si>
  <si>
    <t>Presidio</t>
  </si>
  <si>
    <t>Reeves</t>
  </si>
  <si>
    <t>Schleicher</t>
  </si>
  <si>
    <t>Sutton</t>
  </si>
  <si>
    <t>Terrell</t>
  </si>
  <si>
    <t>15N</t>
  </si>
  <si>
    <t>Andrews</t>
  </si>
  <si>
    <t>Coke</t>
  </si>
  <si>
    <t>Crane</t>
  </si>
  <si>
    <t>Ector</t>
  </si>
  <si>
    <t>Glasscock</t>
  </si>
  <si>
    <t>Howard</t>
  </si>
  <si>
    <t>Irion</t>
  </si>
  <si>
    <t>Martin</t>
  </si>
  <si>
    <t>Midland</t>
  </si>
  <si>
    <t>Mitchell</t>
  </si>
  <si>
    <t>Nolan</t>
  </si>
  <si>
    <t>Reagan</t>
  </si>
  <si>
    <t>Sterling</t>
  </si>
  <si>
    <t>Tom Green</t>
  </si>
  <si>
    <t>Upton</t>
  </si>
  <si>
    <t>Ward</t>
  </si>
  <si>
    <t>Winkler</t>
  </si>
  <si>
    <t>16C</t>
  </si>
  <si>
    <t>Bosque</t>
  </si>
  <si>
    <t>Brown</t>
  </si>
  <si>
    <t>Comanche</t>
  </si>
  <si>
    <t>Eastland</t>
  </si>
  <si>
    <t>Erath</t>
  </si>
  <si>
    <t>Hamilton</t>
  </si>
  <si>
    <t>Hill</t>
  </si>
  <si>
    <t>Hood</t>
  </si>
  <si>
    <t>Johnson</t>
  </si>
  <si>
    <t>Mills</t>
  </si>
  <si>
    <t>Somervell</t>
  </si>
  <si>
    <t>16N</t>
  </si>
  <si>
    <t>Callahan</t>
  </si>
  <si>
    <t>Coleman</t>
  </si>
  <si>
    <t>Concho</t>
  </si>
  <si>
    <t>McCulloch</t>
  </si>
  <si>
    <t>Runnels</t>
  </si>
  <si>
    <t>Taylor</t>
  </si>
  <si>
    <t>16S</t>
  </si>
  <si>
    <t>McLennan</t>
  </si>
  <si>
    <t>Bowie</t>
  </si>
  <si>
    <t>Camp</t>
  </si>
  <si>
    <t>Cass</t>
  </si>
  <si>
    <t>Delta</t>
  </si>
  <si>
    <t>Fannin</t>
  </si>
  <si>
    <t>Franklin</t>
  </si>
  <si>
    <t>Grayson</t>
  </si>
  <si>
    <t>Harrison</t>
  </si>
  <si>
    <t>Hopkins</t>
  </si>
  <si>
    <t>Hunt</t>
  </si>
  <si>
    <t>Kaufman</t>
  </si>
  <si>
    <t>Lamar</t>
  </si>
  <si>
    <t>Marion</t>
  </si>
  <si>
    <t>Morris</t>
  </si>
  <si>
    <t>Rains</t>
  </si>
  <si>
    <t>Red River</t>
  </si>
  <si>
    <t>Titus</t>
  </si>
  <si>
    <t>Upshur</t>
  </si>
  <si>
    <t>Van Zandt</t>
  </si>
  <si>
    <t>Wood</t>
  </si>
  <si>
    <t>Bailey</t>
  </si>
  <si>
    <t>Borden</t>
  </si>
  <si>
    <t>Briscoe</t>
  </si>
  <si>
    <t>Castro</t>
  </si>
  <si>
    <t>Childress</t>
  </si>
  <si>
    <t>Cochran</t>
  </si>
  <si>
    <t>Cottle</t>
  </si>
  <si>
    <t>Crosby</t>
  </si>
  <si>
    <t>Dawson</t>
  </si>
  <si>
    <t>Dickens</t>
  </si>
  <si>
    <t>Fisher</t>
  </si>
  <si>
    <t>Floyd</t>
  </si>
  <si>
    <t>Gaines</t>
  </si>
  <si>
    <t>Garza</t>
  </si>
  <si>
    <t>Hale</t>
  </si>
  <si>
    <t>Hall</t>
  </si>
  <si>
    <t>Hockley</t>
  </si>
  <si>
    <t>Kent</t>
  </si>
  <si>
    <t>King</t>
  </si>
  <si>
    <t>Lamb</t>
  </si>
  <si>
    <t>Lubbock</t>
  </si>
  <si>
    <t>Lynn</t>
  </si>
  <si>
    <t>Motley</t>
  </si>
  <si>
    <t>Parmer</t>
  </si>
  <si>
    <t>Scurry</t>
  </si>
  <si>
    <t>Stonewall</t>
  </si>
  <si>
    <t>Swisher</t>
  </si>
  <si>
    <t>Terry</t>
  </si>
  <si>
    <t>Yoakum</t>
  </si>
  <si>
    <t>19C</t>
  </si>
  <si>
    <t>Cooke</t>
  </si>
  <si>
    <t>Jack</t>
  </si>
  <si>
    <t>Montague</t>
  </si>
  <si>
    <t>Palo Pinto</t>
  </si>
  <si>
    <t>Parker</t>
  </si>
  <si>
    <t>Stephens</t>
  </si>
  <si>
    <t>Wise</t>
  </si>
  <si>
    <t>Young</t>
  </si>
  <si>
    <t>19N</t>
  </si>
  <si>
    <t>Archer</t>
  </si>
  <si>
    <t>Baylor</t>
  </si>
  <si>
    <t>Clay</t>
  </si>
  <si>
    <t>Foard</t>
  </si>
  <si>
    <t>Hardeman</t>
  </si>
  <si>
    <t>Haskell</t>
  </si>
  <si>
    <t>Jones</t>
  </si>
  <si>
    <t>Knox</t>
  </si>
  <si>
    <t>Shackelford</t>
  </si>
  <si>
    <t>Throckmorton</t>
  </si>
  <si>
    <t>Wichita</t>
  </si>
  <si>
    <t>Wilbarger</t>
  </si>
  <si>
    <t>Armstrong</t>
  </si>
  <si>
    <t>Carson</t>
  </si>
  <si>
    <t>Collingsworth</t>
  </si>
  <si>
    <t>Dallam</t>
  </si>
  <si>
    <t>Deaf Smith</t>
  </si>
  <si>
    <t>Donley</t>
  </si>
  <si>
    <t>Gray</t>
  </si>
  <si>
    <t>Hansford</t>
  </si>
  <si>
    <t>Hartley</t>
  </si>
  <si>
    <t>Hemphill</t>
  </si>
  <si>
    <t>Hutchinson</t>
  </si>
  <si>
    <t>Lipscomb</t>
  </si>
  <si>
    <t>Moore</t>
  </si>
  <si>
    <t>Ochiltree</t>
  </si>
  <si>
    <t>Oldham</t>
  </si>
  <si>
    <t>Potter</t>
  </si>
  <si>
    <t>Randall</t>
  </si>
  <si>
    <t>Roberts</t>
  </si>
  <si>
    <t>Sherman</t>
  </si>
  <si>
    <t>Wheeler</t>
  </si>
  <si>
    <t>Rate Filing Template (2025 Edition)</t>
  </si>
  <si>
    <t>Based on General Info selection; (1) +365 * AVG((2),(3)) / 12</t>
  </si>
  <si>
    <t xml:space="preserve">Only needed if an alternate is used/selected from Gen Info tab. Support/justification must be provided.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</si>
</sst>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7" formatCode="&quot;$&quot;#,##0.00_);\(&quot;$&quot;#,##0.00\)"/>
    <numFmt numFmtId="44" formatCode="_(&quot;$&quot;* #,##0.00_);_(&quot;$&quot;* \(#,##0.00\);_(&quot;$&quot;* &quot;-&quot;??_);_(@_)"/>
    <numFmt numFmtId="43" formatCode="_(* #,##0.00_);_(* \(#,##0.00\);_(* &quot;-&quot;??_);_(@_)"/>
    <numFmt numFmtId="164" formatCode="0.000"/>
    <numFmt numFmtId="165" formatCode="#,##0.000"/>
    <numFmt numFmtId="166" formatCode="0.0%"/>
    <numFmt numFmtId="167" formatCode="m/d/yyyy;@"/>
    <numFmt numFmtId="168" formatCode="0_);\(0\)"/>
    <numFmt numFmtId="169" formatCode="&quot;$&quot;#,##0"/>
    <numFmt numFmtId="170" formatCode="&quot;$&quot;#,##0.00"/>
    <numFmt numFmtId="171" formatCode="_(* #,##0_);_(* \(#,##0\);_(* &quot;-&quot;??_);_(@_)"/>
    <numFmt numFmtId="172" formatCode="0.0"/>
    <numFmt numFmtId="173" formatCode="mm/yyyy"/>
    <numFmt numFmtId="174" formatCode="mm/dd/yy;@"/>
    <numFmt numFmtId="175" formatCode="0.0000%"/>
    <numFmt numFmtId="176" formatCode="#,##0.000_);\(#,##0.000\)"/>
    <numFmt numFmtId="177" formatCode="0.000_);\(0.000\)"/>
    <numFmt numFmtId="178" formatCode="\(#\)"/>
    <numFmt numFmtId="179" formatCode="\(0\)"/>
  </numFmts>
  <fonts count="57" x14ac:knownFonts="1">
    <font>
      <sz val="11"/>
      <color theme="1"/>
      <name val="Calibri"/>
      <family val="2"/>
    </font>
    <font>
      <sz val="12"/>
      <color theme="1"/>
      <name val="Segoe U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1"/>
      <color theme="1"/>
      <name val="Calibri"/>
      <family val="2"/>
    </font>
    <font>
      <sz val="11"/>
      <color theme="1"/>
      <name val="Calibri"/>
      <family val="2"/>
      <scheme val="minor"/>
    </font>
    <font>
      <b/>
      <sz val="11"/>
      <color theme="1"/>
      <name val="Calibri"/>
      <family val="2"/>
      <scheme val="minor"/>
    </font>
    <font>
      <b/>
      <sz val="11"/>
      <color theme="0"/>
      <name val="Calibri"/>
      <family val="2"/>
    </font>
    <font>
      <sz val="11"/>
      <color theme="0"/>
      <name val="Calibri"/>
      <family val="2"/>
    </font>
    <font>
      <b/>
      <sz val="12"/>
      <color theme="0"/>
      <name val="Calibri"/>
      <family val="2"/>
      <scheme val="minor"/>
    </font>
    <font>
      <b/>
      <sz val="11"/>
      <color theme="0"/>
      <name val="Calibri"/>
      <family val="2"/>
      <scheme val="minor"/>
    </font>
    <font>
      <sz val="11"/>
      <name val="Calibri"/>
      <family val="2"/>
    </font>
    <font>
      <b/>
      <sz val="12"/>
      <color theme="0"/>
      <name val="Calibri"/>
      <family val="2"/>
    </font>
    <font>
      <b/>
      <sz val="11"/>
      <name val="Calibri"/>
      <family val="2"/>
    </font>
    <font>
      <sz val="10"/>
      <color theme="1"/>
      <name val="Calibri"/>
      <family val="2"/>
    </font>
    <font>
      <b/>
      <sz val="10"/>
      <color theme="1"/>
      <name val="Calibri"/>
      <family val="2"/>
    </font>
    <font>
      <u/>
      <sz val="11"/>
      <color theme="10"/>
      <name val="Calibri"/>
      <family val="2"/>
    </font>
    <font>
      <b/>
      <sz val="15"/>
      <color theme="3"/>
      <name val="Calibri"/>
      <family val="2"/>
      <scheme val="minor"/>
    </font>
    <font>
      <b/>
      <sz val="11"/>
      <color theme="3"/>
      <name val="Calibri"/>
      <family val="2"/>
      <scheme val="minor"/>
    </font>
    <font>
      <sz val="10"/>
      <name val="Arial"/>
      <family val="2"/>
    </font>
    <font>
      <b/>
      <sz val="13"/>
      <color theme="3"/>
      <name val="Calibri"/>
      <family val="2"/>
      <scheme val="minor"/>
    </font>
    <font>
      <sz val="10"/>
      <color theme="1"/>
      <name val="Arial"/>
      <family val="2"/>
    </font>
    <font>
      <b/>
      <sz val="13"/>
      <color theme="1"/>
      <name val="Calibri"/>
      <family val="2"/>
      <scheme val="minor"/>
    </font>
    <font>
      <sz val="10"/>
      <color indexed="8"/>
      <name val="Arial"/>
      <family val="2"/>
    </font>
    <font>
      <u/>
      <sz val="10"/>
      <color theme="1"/>
      <name val="Calibri"/>
      <family val="2"/>
    </font>
    <font>
      <sz val="10"/>
      <name val="Calibri"/>
      <family val="2"/>
    </font>
    <font>
      <u/>
      <sz val="10"/>
      <color indexed="12"/>
      <name val="Arial"/>
      <family val="2"/>
    </font>
    <font>
      <b/>
      <sz val="14"/>
      <name val="Calibri"/>
      <family val="2"/>
      <scheme val="minor"/>
    </font>
    <font>
      <u/>
      <sz val="11"/>
      <color rgb="FF0000FF"/>
      <name val="Calibri"/>
      <family val="2"/>
    </font>
    <font>
      <b/>
      <sz val="11.5"/>
      <color theme="1"/>
      <name val="Calibri"/>
      <family val="2"/>
    </font>
    <font>
      <sz val="8"/>
      <color theme="1"/>
      <name val="Calibri"/>
      <family val="2"/>
    </font>
    <font>
      <sz val="10"/>
      <color theme="10"/>
      <name val="Calibri"/>
      <family val="2"/>
    </font>
    <font>
      <b/>
      <sz val="12"/>
      <name val="Segoe UI"/>
      <family val="2"/>
    </font>
    <font>
      <b/>
      <sz val="12"/>
      <color theme="1"/>
      <name val="Segoe UI"/>
      <family val="2"/>
    </font>
    <font>
      <sz val="12"/>
      <color theme="1"/>
      <name val="Segoe UI"/>
      <family val="2"/>
    </font>
    <font>
      <sz val="12"/>
      <color theme="0" tint="-0.499984740745262"/>
      <name val="Segoe UI"/>
      <family val="2"/>
    </font>
    <font>
      <b/>
      <sz val="12"/>
      <color theme="0"/>
      <name val="Segoe UI"/>
      <family val="2"/>
    </font>
    <font>
      <sz val="12"/>
      <color theme="0"/>
      <name val="Segoe UI"/>
      <family val="2"/>
    </font>
    <font>
      <b/>
      <sz val="12"/>
      <color theme="0" tint="-0.499984740745262"/>
      <name val="Segoe UI"/>
      <family val="2"/>
    </font>
    <font>
      <sz val="12"/>
      <name val="Segoe UI"/>
      <family val="2"/>
    </font>
    <font>
      <i/>
      <sz val="12"/>
      <color theme="0"/>
      <name val="Segoe UI"/>
      <family val="2"/>
    </font>
    <font>
      <u/>
      <sz val="12"/>
      <color theme="10"/>
      <name val="Segoe UI"/>
      <family val="2"/>
    </font>
    <font>
      <u/>
      <sz val="12"/>
      <color rgb="FF0000FF"/>
      <name val="Segoe UI"/>
      <family val="2"/>
    </font>
    <font>
      <i/>
      <sz val="12"/>
      <color theme="1"/>
      <name val="Segoe UI"/>
      <family val="2"/>
    </font>
    <font>
      <i/>
      <sz val="12"/>
      <name val="Segoe UI"/>
      <family val="2"/>
    </font>
    <font>
      <sz val="12"/>
      <color rgb="FF0000FF"/>
      <name val="Segoe UI"/>
      <family val="2"/>
    </font>
    <font>
      <sz val="12"/>
      <color rgb="FFFF0000"/>
      <name val="Segoe UI"/>
      <family val="2"/>
    </font>
    <font>
      <b/>
      <u/>
      <sz val="11"/>
      <color theme="10"/>
      <name val="Calibri"/>
      <family val="2"/>
    </font>
    <font>
      <u/>
      <sz val="10"/>
      <color theme="10"/>
      <name val="Calibri"/>
      <family val="2"/>
    </font>
    <font>
      <b/>
      <sz val="12"/>
      <color rgb="FFFF0000"/>
      <name val="Segoe UI"/>
      <family val="2"/>
    </font>
    <font>
      <sz val="12"/>
      <color rgb="FF000000"/>
      <name val="Segoe UI"/>
      <family val="2"/>
    </font>
    <font>
      <u/>
      <sz val="12"/>
      <color theme="1"/>
      <name val="Segoe UI"/>
      <family val="2"/>
    </font>
    <font>
      <vertAlign val="superscript"/>
      <sz val="12"/>
      <color theme="1"/>
      <name val="Segoe UI"/>
      <family val="2"/>
    </font>
    <font>
      <sz val="12"/>
      <color theme="1"/>
      <name val="Segoe UI"/>
      <family val="2"/>
    </font>
    <font>
      <sz val="12"/>
      <color indexed="8"/>
      <name val="Segoe UI"/>
      <family val="2"/>
    </font>
  </fonts>
  <fills count="10">
    <fill>
      <patternFill patternType="none"/>
    </fill>
    <fill>
      <patternFill patternType="gray125"/>
    </fill>
    <fill>
      <patternFill patternType="solid">
        <fgColor theme="0" tint="-0.499984740745262"/>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EBC8C7"/>
        <bgColor indexed="64"/>
      </patternFill>
    </fill>
    <fill>
      <patternFill patternType="solid">
        <fgColor theme="5" tint="-0.24994659260841701"/>
        <bgColor indexed="64"/>
      </patternFill>
    </fill>
    <fill>
      <patternFill patternType="solid">
        <fgColor theme="1" tint="0.499984740745262"/>
        <bgColor indexed="64"/>
      </patternFill>
    </fill>
  </fills>
  <borders count="9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auto="1"/>
      </bottom>
      <diagonal/>
    </border>
    <border>
      <left style="hair">
        <color indexed="64"/>
      </left>
      <right style="hair">
        <color indexed="64"/>
      </right>
      <top style="hair">
        <color indexed="64"/>
      </top>
      <bottom style="thin">
        <color auto="1"/>
      </bottom>
      <diagonal/>
    </border>
    <border>
      <left style="hair">
        <color indexed="64"/>
      </left>
      <right style="thin">
        <color indexed="64"/>
      </right>
      <top style="hair">
        <color indexed="64"/>
      </top>
      <bottom style="thin">
        <color auto="1"/>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auto="1"/>
      </bottom>
      <diagonal/>
    </border>
    <border>
      <left style="hair">
        <color indexed="64"/>
      </left>
      <right style="hair">
        <color indexed="64"/>
      </right>
      <top/>
      <bottom style="thin">
        <color auto="1"/>
      </bottom>
      <diagonal/>
    </border>
    <border>
      <left style="hair">
        <color indexed="64"/>
      </left>
      <right style="thin">
        <color indexed="64"/>
      </right>
      <top/>
      <bottom style="thin">
        <color auto="1"/>
      </bottom>
      <diagonal/>
    </border>
    <border>
      <left style="thin">
        <color indexed="64"/>
      </left>
      <right style="hair">
        <color indexed="64"/>
      </right>
      <top/>
      <bottom style="thin">
        <color auto="1"/>
      </bottom>
      <diagonal/>
    </border>
    <border>
      <left/>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bottom style="hair">
        <color indexed="64"/>
      </bottom>
      <diagonal/>
    </border>
    <border>
      <left/>
      <right style="thin">
        <color indexed="64"/>
      </right>
      <top/>
      <bottom style="hair">
        <color indexed="64"/>
      </bottom>
      <diagonal/>
    </border>
    <border>
      <left/>
      <right style="thin">
        <color indexed="64"/>
      </right>
      <top style="hair">
        <color auto="1"/>
      </top>
      <bottom style="hair">
        <color auto="1"/>
      </bottom>
      <diagonal/>
    </border>
    <border>
      <left/>
      <right style="thin">
        <color indexed="64"/>
      </right>
      <top style="hair">
        <color auto="1"/>
      </top>
      <bottom style="thin">
        <color auto="1"/>
      </bottom>
      <diagonal/>
    </border>
    <border>
      <left style="hair">
        <color indexed="64"/>
      </left>
      <right/>
      <top style="hair">
        <color indexed="64"/>
      </top>
      <bottom style="hair">
        <color indexed="64"/>
      </bottom>
      <diagonal/>
    </border>
    <border>
      <left/>
      <right style="thin">
        <color indexed="64"/>
      </right>
      <top style="hair">
        <color auto="1"/>
      </top>
      <bottom/>
      <diagonal/>
    </border>
    <border>
      <left style="hair">
        <color indexed="64"/>
      </left>
      <right style="hair">
        <color indexed="64"/>
      </right>
      <top style="thin">
        <color indexed="64"/>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auto="1"/>
      </left>
      <right/>
      <top/>
      <bottom style="hair">
        <color auto="1"/>
      </bottom>
      <diagonal/>
    </border>
    <border>
      <left/>
      <right style="thin">
        <color indexed="64"/>
      </right>
      <top/>
      <bottom style="thin">
        <color indexed="64"/>
      </bottom>
      <diagonal/>
    </border>
    <border>
      <left/>
      <right style="thin">
        <color indexed="64"/>
      </right>
      <top/>
      <bottom/>
      <diagonal/>
    </border>
    <border>
      <left/>
      <right/>
      <top/>
      <bottom style="hair">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hair">
        <color indexed="64"/>
      </bottom>
      <diagonal/>
    </border>
    <border>
      <left style="thin">
        <color auto="1"/>
      </left>
      <right/>
      <top style="hair">
        <color auto="1"/>
      </top>
      <bottom/>
      <diagonal/>
    </border>
    <border>
      <left style="hair">
        <color indexed="64"/>
      </left>
      <right/>
      <top style="hair">
        <color indexed="64"/>
      </top>
      <bottom style="thin">
        <color indexed="64"/>
      </bottom>
      <diagonal/>
    </border>
    <border>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hair">
        <color indexed="64"/>
      </left>
      <right/>
      <top style="thin">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indexed="64"/>
      </left>
      <right style="thin">
        <color indexed="64"/>
      </right>
      <top style="hair">
        <color indexed="64"/>
      </top>
      <bottom/>
      <diagonal/>
    </border>
    <border>
      <left/>
      <right/>
      <top style="hair">
        <color auto="1"/>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hair">
        <color auto="1"/>
      </right>
      <top style="hair">
        <color auto="1"/>
      </top>
      <bottom/>
      <diagonal/>
    </border>
    <border>
      <left/>
      <right style="hair">
        <color auto="1"/>
      </right>
      <top style="thin">
        <color indexed="64"/>
      </top>
      <bottom/>
      <diagonal/>
    </border>
    <border>
      <left style="hair">
        <color indexed="64"/>
      </left>
      <right/>
      <top style="thin">
        <color indexed="64"/>
      </top>
      <bottom style="thin">
        <color indexed="64"/>
      </bottom>
      <diagonal/>
    </border>
    <border>
      <left style="hair">
        <color auto="1"/>
      </left>
      <right/>
      <top style="hair">
        <color auto="1"/>
      </top>
      <bottom/>
      <diagonal/>
    </border>
    <border>
      <left style="hair">
        <color auto="1"/>
      </left>
      <right/>
      <top/>
      <bottom/>
      <diagonal/>
    </border>
    <border>
      <left style="hair">
        <color auto="1"/>
      </left>
      <right/>
      <top/>
      <bottom style="thin">
        <color indexed="64"/>
      </bottom>
      <diagonal/>
    </border>
    <border>
      <left style="hair">
        <color indexed="64"/>
      </left>
      <right/>
      <top/>
      <bottom style="hair">
        <color indexed="64"/>
      </bottom>
      <diagonal/>
    </border>
    <border>
      <left/>
      <right/>
      <top style="thin">
        <color rgb="FF000000"/>
      </top>
      <bottom style="thin">
        <color rgb="FF000000"/>
      </bottom>
      <diagonal/>
    </border>
    <border>
      <left style="thin">
        <color rgb="FF000000"/>
      </left>
      <right/>
      <top/>
      <bottom/>
      <diagonal/>
    </border>
    <border>
      <left style="dotted">
        <color rgb="FF000000"/>
      </left>
      <right style="dotted">
        <color rgb="FF000000"/>
      </right>
      <top style="dotted">
        <color rgb="FF000000"/>
      </top>
      <bottom style="dotted">
        <color rgb="FF000000"/>
      </bottom>
      <diagonal/>
    </border>
    <border>
      <left/>
      <right/>
      <top style="thin">
        <color rgb="FF000000"/>
      </top>
      <bottom/>
      <diagonal/>
    </border>
    <border>
      <left/>
      <right/>
      <top/>
      <bottom style="thin">
        <color rgb="FF000000"/>
      </bottom>
      <diagonal/>
    </border>
    <border>
      <left/>
      <right style="thin">
        <color rgb="FF000000"/>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indexed="64"/>
      </top>
      <bottom style="double">
        <color indexed="64"/>
      </bottom>
      <diagonal/>
    </border>
    <border>
      <left/>
      <right/>
      <top/>
      <bottom style="double">
        <color indexed="64"/>
      </bottom>
      <diagonal/>
    </border>
    <border>
      <left style="dotted">
        <color rgb="FF000000"/>
      </left>
      <right/>
      <top/>
      <bottom style="dotted">
        <color rgb="FF000000"/>
      </bottom>
      <diagonal/>
    </border>
    <border>
      <left style="dotted">
        <color rgb="FF000000"/>
      </left>
      <right/>
      <top/>
      <bottom style="hair">
        <color indexed="64"/>
      </bottom>
      <diagonal/>
    </border>
    <border>
      <left style="dotted">
        <color rgb="FF000000"/>
      </left>
      <right/>
      <top style="thin">
        <color rgb="FF000000"/>
      </top>
      <bottom style="thin">
        <color rgb="FF000000"/>
      </bottom>
      <diagonal/>
    </border>
    <border>
      <left style="dotted">
        <color rgb="FF000000"/>
      </left>
      <right/>
      <top style="hair">
        <color indexed="64"/>
      </top>
      <bottom style="hair">
        <color indexed="64"/>
      </bottom>
      <diagonal/>
    </border>
    <border>
      <left style="thin">
        <color rgb="FF000000"/>
      </left>
      <right style="thin">
        <color indexed="64"/>
      </right>
      <top style="thin">
        <color rgb="FF000000"/>
      </top>
      <bottom style="thin">
        <color rgb="FF000000"/>
      </bottom>
      <diagonal/>
    </border>
    <border>
      <left style="hair">
        <color indexed="64"/>
      </left>
      <right style="thin">
        <color indexed="64"/>
      </right>
      <top style="hair">
        <color indexed="64"/>
      </top>
      <bottom style="thin">
        <color rgb="FF000000"/>
      </bottom>
      <diagonal/>
    </border>
  </borders>
  <cellStyleXfs count="58">
    <xf numFmtId="0" fontId="0" fillId="0" borderId="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18" fillId="0" borderId="0" applyNumberFormat="0" applyFill="0" applyBorder="0" applyAlignment="0" applyProtection="0">
      <alignment vertical="top"/>
      <protection locked="0"/>
    </xf>
    <xf numFmtId="0" fontId="19" fillId="0" borderId="64" applyNumberFormat="0" applyFill="0" applyAlignment="0" applyProtection="0"/>
    <xf numFmtId="0" fontId="7" fillId="0" borderId="0"/>
    <xf numFmtId="0" fontId="20" fillId="0" borderId="66" applyNumberFormat="0" applyFill="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2" fillId="0" borderId="65" applyNumberFormat="0" applyFill="0" applyAlignment="0" applyProtection="0"/>
    <xf numFmtId="0" fontId="20" fillId="0" borderId="0" applyNumberFormat="0" applyFill="0" applyBorder="0" applyAlignment="0" applyProtection="0"/>
    <xf numFmtId="0" fontId="23" fillId="0" borderId="0"/>
    <xf numFmtId="9" fontId="23" fillId="0" borderId="0" applyFont="0" applyFill="0" applyBorder="0" applyAlignment="0" applyProtection="0"/>
    <xf numFmtId="0" fontId="21" fillId="0" borderId="0"/>
    <xf numFmtId="43" fontId="23" fillId="0" borderId="0" applyFont="0" applyFill="0" applyBorder="0" applyAlignment="0" applyProtection="0"/>
    <xf numFmtId="0" fontId="25" fillId="0" borderId="0"/>
    <xf numFmtId="0" fontId="8" fillId="4" borderId="2"/>
    <xf numFmtId="0" fontId="28" fillId="0" borderId="0" applyNumberFormat="0" applyFill="0" applyBorder="0" applyAlignment="0" applyProtection="0">
      <alignment vertical="top"/>
      <protection locked="0"/>
    </xf>
    <xf numFmtId="0" fontId="21" fillId="0" borderId="0"/>
    <xf numFmtId="0" fontId="12" fillId="8" borderId="0" applyBorder="0">
      <alignment horizontal="center" vertical="center" wrapText="1"/>
    </xf>
    <xf numFmtId="0" fontId="29" fillId="0" borderId="64" applyNumberFormat="0" applyFill="0" applyBorder="0" applyAlignment="0" applyProtection="0"/>
    <xf numFmtId="0" fontId="4" fillId="0" borderId="0"/>
    <xf numFmtId="0" fontId="12" fillId="8" borderId="0" applyBorder="0" applyAlignment="0" applyProtection="0"/>
    <xf numFmtId="0" fontId="19" fillId="0" borderId="64" applyNumberFormat="0" applyFill="0" applyAlignment="0" applyProtection="0"/>
    <xf numFmtId="0" fontId="3" fillId="0" borderId="0"/>
  </cellStyleXfs>
  <cellXfs count="1507">
    <xf numFmtId="0" fontId="0" fillId="0" borderId="0" xfId="0"/>
    <xf numFmtId="168" fontId="0" fillId="0" borderId="0" xfId="0" applyNumberFormat="1" applyAlignment="1">
      <alignment horizontal="center" vertical="center"/>
    </xf>
    <xf numFmtId="0" fontId="0" fillId="0" borderId="0" xfId="0" applyAlignment="1">
      <alignment horizontal="center" vertical="center"/>
    </xf>
    <xf numFmtId="0" fontId="16" fillId="0" borderId="0" xfId="0" applyFont="1"/>
    <xf numFmtId="0" fontId="17" fillId="0" borderId="0" xfId="0" applyFont="1"/>
    <xf numFmtId="0" fontId="10" fillId="3" borderId="32" xfId="0" applyFont="1" applyFill="1" applyBorder="1" applyAlignment="1">
      <alignment horizontal="center" vertical="center"/>
    </xf>
    <xf numFmtId="166" fontId="9" fillId="3" borderId="2" xfId="2" applyNumberFormat="1" applyFont="1" applyFill="1" applyBorder="1" applyAlignment="1">
      <alignment horizontal="center" vertical="center"/>
    </xf>
    <xf numFmtId="0" fontId="15" fillId="0" borderId="0" xfId="0" applyFont="1" applyAlignment="1">
      <alignment horizontal="center" vertical="center"/>
    </xf>
    <xf numFmtId="169" fontId="15" fillId="0" borderId="0" xfId="0" applyNumberFormat="1" applyFont="1" applyAlignment="1">
      <alignment horizontal="center" vertical="center"/>
    </xf>
    <xf numFmtId="166" fontId="15" fillId="0" borderId="0" xfId="2" applyNumberFormat="1" applyFont="1" applyFill="1" applyBorder="1" applyAlignment="1">
      <alignment horizontal="center" vertical="center"/>
    </xf>
    <xf numFmtId="0" fontId="13" fillId="0" borderId="0" xfId="0" applyFont="1" applyAlignment="1">
      <alignment horizontal="center" vertical="center"/>
    </xf>
    <xf numFmtId="0" fontId="9" fillId="3" borderId="31" xfId="0" applyFont="1" applyFill="1" applyBorder="1" applyAlignment="1">
      <alignment horizontal="left" vertical="center"/>
    </xf>
    <xf numFmtId="0" fontId="9" fillId="3" borderId="48" xfId="0" applyFont="1" applyFill="1" applyBorder="1" applyAlignment="1">
      <alignment horizontal="center" vertical="center"/>
    </xf>
    <xf numFmtId="0" fontId="6" fillId="0" borderId="0" xfId="0" applyFont="1" applyAlignment="1">
      <alignment horizontal="center" vertical="center"/>
    </xf>
    <xf numFmtId="168" fontId="0" fillId="0" borderId="0" xfId="0" applyNumberFormat="1" applyAlignment="1">
      <alignment horizontal="left" vertical="center"/>
    </xf>
    <xf numFmtId="0" fontId="9" fillId="0" borderId="19" xfId="0" applyFont="1" applyBorder="1" applyAlignment="1">
      <alignment horizontal="left" vertical="center"/>
    </xf>
    <xf numFmtId="0" fontId="10" fillId="0" borderId="19" xfId="0" applyFont="1" applyBorder="1" applyAlignment="1">
      <alignment horizontal="center" vertical="center"/>
    </xf>
    <xf numFmtId="0" fontId="9" fillId="0" borderId="19" xfId="0" applyFont="1" applyBorder="1" applyAlignment="1">
      <alignment horizontal="center" vertical="center"/>
    </xf>
    <xf numFmtId="0" fontId="6" fillId="0" borderId="53" xfId="0" applyFont="1" applyBorder="1" applyAlignment="1">
      <alignment horizontal="center" vertical="center"/>
    </xf>
    <xf numFmtId="168" fontId="0" fillId="0" borderId="48" xfId="0" applyNumberFormat="1" applyBorder="1" applyAlignment="1">
      <alignment horizontal="center" vertical="center"/>
    </xf>
    <xf numFmtId="0" fontId="0" fillId="0" borderId="44" xfId="0" applyBorder="1" applyAlignment="1">
      <alignment horizontal="center" vertical="center"/>
    </xf>
    <xf numFmtId="169" fontId="0" fillId="0" borderId="50" xfId="0" applyNumberFormat="1" applyBorder="1" applyAlignment="1">
      <alignment horizontal="center" vertical="center"/>
    </xf>
    <xf numFmtId="169" fontId="6" fillId="2" borderId="56" xfId="0" applyNumberFormat="1" applyFont="1" applyFill="1" applyBorder="1" applyAlignment="1">
      <alignment horizontal="center" vertical="center"/>
    </xf>
    <xf numFmtId="168" fontId="0" fillId="0" borderId="46" xfId="0" applyNumberFormat="1" applyBorder="1" applyAlignment="1">
      <alignment horizontal="center" vertical="center"/>
    </xf>
    <xf numFmtId="0" fontId="0" fillId="5" borderId="22" xfId="0" applyFill="1" applyBorder="1" applyAlignment="1">
      <alignment horizontal="center" vertical="center"/>
    </xf>
    <xf numFmtId="0" fontId="0" fillId="5" borderId="36" xfId="0" applyFill="1" applyBorder="1" applyAlignment="1">
      <alignment horizontal="left" vertical="center"/>
    </xf>
    <xf numFmtId="169" fontId="0" fillId="5" borderId="4" xfId="0" applyNumberFormat="1" applyFill="1" applyBorder="1" applyAlignment="1">
      <alignment horizontal="center" vertical="center"/>
    </xf>
    <xf numFmtId="169" fontId="0" fillId="5" borderId="5" xfId="0" applyNumberFormat="1" applyFill="1" applyBorder="1" applyAlignment="1">
      <alignment horizontal="center" vertical="center"/>
    </xf>
    <xf numFmtId="169" fontId="0" fillId="5" borderId="13" xfId="0" applyNumberFormat="1" applyFill="1" applyBorder="1" applyAlignment="1">
      <alignment horizontal="center" vertical="center"/>
    </xf>
    <xf numFmtId="169" fontId="6" fillId="2" borderId="57" xfId="0" applyNumberFormat="1" applyFont="1" applyFill="1"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left" vertical="center"/>
    </xf>
    <xf numFmtId="169" fontId="0" fillId="0" borderId="4" xfId="0" applyNumberFormat="1" applyBorder="1" applyAlignment="1">
      <alignment horizontal="center" vertical="center"/>
    </xf>
    <xf numFmtId="169" fontId="0" fillId="0" borderId="5" xfId="0" applyNumberFormat="1" applyBorder="1" applyAlignment="1">
      <alignment horizontal="center" vertical="center"/>
    </xf>
    <xf numFmtId="169" fontId="0" fillId="0" borderId="13" xfId="0" applyNumberFormat="1" applyBorder="1" applyAlignment="1">
      <alignment horizontal="center" vertical="center"/>
    </xf>
    <xf numFmtId="0" fontId="0" fillId="0" borderId="24" xfId="0" applyBorder="1" applyAlignment="1">
      <alignment horizontal="center" vertical="center"/>
    </xf>
    <xf numFmtId="166" fontId="0" fillId="0" borderId="7" xfId="2" applyNumberFormat="1" applyFont="1" applyFill="1" applyBorder="1" applyAlignment="1">
      <alignment horizontal="center" vertical="center"/>
    </xf>
    <xf numFmtId="166" fontId="0" fillId="0" borderId="8" xfId="2" applyNumberFormat="1" applyFont="1" applyFill="1" applyBorder="1" applyAlignment="1">
      <alignment horizontal="center" vertical="center"/>
    </xf>
    <xf numFmtId="0" fontId="0" fillId="5" borderId="49" xfId="0" applyFill="1" applyBorder="1" applyAlignment="1">
      <alignment horizontal="center" vertical="center"/>
    </xf>
    <xf numFmtId="0" fontId="0" fillId="5" borderId="46" xfId="0" applyFill="1" applyBorder="1" applyAlignment="1">
      <alignment horizontal="left" vertical="center"/>
    </xf>
    <xf numFmtId="166" fontId="0" fillId="2" borderId="49" xfId="2" applyNumberFormat="1" applyFont="1" applyFill="1" applyBorder="1" applyAlignment="1">
      <alignment horizontal="center" vertical="center"/>
    </xf>
    <xf numFmtId="166" fontId="0" fillId="2" borderId="0" xfId="2" applyNumberFormat="1" applyFont="1" applyFill="1" applyBorder="1" applyAlignment="1">
      <alignment horizontal="center" vertical="center"/>
    </xf>
    <xf numFmtId="0" fontId="0" fillId="2" borderId="46" xfId="0" applyFill="1" applyBorder="1" applyAlignment="1">
      <alignment horizontal="center" vertical="center"/>
    </xf>
    <xf numFmtId="0" fontId="0" fillId="0" borderId="59" xfId="0" applyBorder="1" applyAlignment="1">
      <alignment horizontal="center" vertical="center"/>
    </xf>
    <xf numFmtId="0" fontId="0" fillId="0" borderId="39" xfId="0" applyBorder="1" applyAlignment="1">
      <alignment horizontal="left" vertical="center"/>
    </xf>
    <xf numFmtId="0" fontId="0" fillId="5" borderId="59" xfId="0" applyFill="1" applyBorder="1" applyAlignment="1">
      <alignment horizontal="center" vertical="center"/>
    </xf>
    <xf numFmtId="0" fontId="0" fillId="5" borderId="39" xfId="0" applyFill="1" applyBorder="1" applyAlignment="1">
      <alignment horizontal="left" vertical="center"/>
    </xf>
    <xf numFmtId="166" fontId="0" fillId="2" borderId="54" xfId="2" applyNumberFormat="1" applyFont="1" applyFill="1" applyBorder="1" applyAlignment="1">
      <alignment horizontal="center" vertical="center"/>
    </xf>
    <xf numFmtId="166" fontId="0" fillId="2" borderId="1" xfId="2" applyNumberFormat="1" applyFont="1" applyFill="1" applyBorder="1" applyAlignment="1">
      <alignment horizontal="center" vertical="center"/>
    </xf>
    <xf numFmtId="0" fontId="0" fillId="2" borderId="45" xfId="0" applyFill="1" applyBorder="1" applyAlignment="1">
      <alignment horizontal="center" vertical="center"/>
    </xf>
    <xf numFmtId="169" fontId="0" fillId="5" borderId="6" xfId="0" applyNumberFormat="1" applyFill="1"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54" xfId="0"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center" vertical="center"/>
    </xf>
    <xf numFmtId="166" fontId="6" fillId="0" borderId="55" xfId="2" applyNumberFormat="1" applyFont="1" applyBorder="1" applyAlignment="1">
      <alignment horizontal="center" vertical="center"/>
    </xf>
    <xf numFmtId="0" fontId="6" fillId="0" borderId="0" xfId="0" applyFont="1" applyAlignment="1">
      <alignment horizontal="left" vertical="center" wrapText="1"/>
    </xf>
    <xf numFmtId="169" fontId="0" fillId="0" borderId="6" xfId="0" applyNumberFormat="1" applyBorder="1" applyAlignment="1">
      <alignment horizontal="center" vertical="center"/>
    </xf>
    <xf numFmtId="169" fontId="0" fillId="0" borderId="51" xfId="0" applyNumberFormat="1" applyBorder="1" applyAlignment="1">
      <alignment horizontal="center" vertical="center"/>
    </xf>
    <xf numFmtId="169" fontId="0" fillId="0" borderId="52" xfId="0" applyNumberFormat="1" applyBorder="1" applyAlignment="1">
      <alignment horizontal="center" vertical="center"/>
    </xf>
    <xf numFmtId="169" fontId="0" fillId="0" borderId="3" xfId="0" applyNumberFormat="1" applyBorder="1" applyAlignment="1">
      <alignment horizontal="center" vertical="center"/>
    </xf>
    <xf numFmtId="166" fontId="0" fillId="0" borderId="9" xfId="2" applyNumberFormat="1" applyFont="1" applyFill="1" applyBorder="1" applyAlignment="1">
      <alignment horizontal="center" vertical="center"/>
    </xf>
    <xf numFmtId="0" fontId="0" fillId="0" borderId="0" xfId="0" applyAlignment="1">
      <alignment vertical="top"/>
    </xf>
    <xf numFmtId="0" fontId="0" fillId="5" borderId="24" xfId="0" applyFill="1" applyBorder="1" applyAlignment="1">
      <alignment horizontal="center" vertical="center"/>
    </xf>
    <xf numFmtId="0" fontId="0" fillId="0" borderId="0" xfId="0" applyAlignment="1">
      <alignment vertical="center"/>
    </xf>
    <xf numFmtId="0" fontId="6" fillId="0" borderId="0" xfId="0" applyFont="1" applyAlignment="1">
      <alignment vertical="center"/>
    </xf>
    <xf numFmtId="0" fontId="26" fillId="0" borderId="0" xfId="0" applyFont="1"/>
    <xf numFmtId="0" fontId="16" fillId="0" borderId="0" xfId="0" quotePrefix="1" applyFont="1"/>
    <xf numFmtId="169" fontId="6" fillId="2" borderId="55" xfId="0" applyNumberFormat="1" applyFont="1" applyFill="1" applyBorder="1" applyAlignment="1">
      <alignment horizontal="center" vertical="center"/>
    </xf>
    <xf numFmtId="166" fontId="6" fillId="0" borderId="50" xfId="2" applyNumberFormat="1" applyFont="1" applyFill="1" applyBorder="1" applyAlignment="1">
      <alignment horizontal="center" vertical="center"/>
    </xf>
    <xf numFmtId="0" fontId="16" fillId="0" borderId="0" xfId="0" applyFont="1" applyAlignment="1">
      <alignment horizontal="center" vertical="center"/>
    </xf>
    <xf numFmtId="0" fontId="17" fillId="0" borderId="0" xfId="0" applyFont="1" applyAlignment="1">
      <alignment horizontal="center" vertical="center"/>
    </xf>
    <xf numFmtId="168" fontId="16" fillId="0" borderId="0" xfId="0" applyNumberFormat="1" applyFont="1" applyAlignment="1">
      <alignment horizontal="right" vertical="center"/>
    </xf>
    <xf numFmtId="0" fontId="16" fillId="0" borderId="0" xfId="0" applyFont="1" applyAlignment="1">
      <alignment horizontal="left" vertical="center"/>
    </xf>
    <xf numFmtId="168" fontId="16" fillId="0" borderId="0" xfId="0" applyNumberFormat="1" applyFont="1" applyAlignment="1">
      <alignment horizontal="right"/>
    </xf>
    <xf numFmtId="0" fontId="16" fillId="0" borderId="0" xfId="0" quotePrefix="1" applyFont="1" applyAlignment="1">
      <alignment horizontal="left" vertical="center"/>
    </xf>
    <xf numFmtId="166" fontId="5" fillId="0" borderId="13" xfId="2" applyNumberFormat="1" applyFont="1" applyFill="1" applyBorder="1" applyAlignment="1">
      <alignment horizontal="center" vertical="center"/>
    </xf>
    <xf numFmtId="166" fontId="5" fillId="0" borderId="50" xfId="2" applyNumberFormat="1" applyFont="1" applyBorder="1" applyAlignment="1">
      <alignment horizontal="center" vertical="center"/>
    </xf>
    <xf numFmtId="168" fontId="13" fillId="0" borderId="0" xfId="0" applyNumberFormat="1" applyFont="1" applyAlignment="1">
      <alignment horizontal="center" vertical="center"/>
    </xf>
    <xf numFmtId="0" fontId="24" fillId="0" borderId="0" xfId="0" applyFont="1" applyAlignment="1">
      <alignment horizontal="left" vertical="center"/>
    </xf>
    <xf numFmtId="0" fontId="7" fillId="0" borderId="0" xfId="0" applyFont="1" applyAlignment="1">
      <alignment horizontal="center" vertical="center"/>
    </xf>
    <xf numFmtId="168" fontId="6" fillId="7" borderId="31" xfId="0" applyNumberFormat="1" applyFont="1" applyFill="1" applyBorder="1" applyAlignment="1">
      <alignment horizontal="center" vertical="center"/>
    </xf>
    <xf numFmtId="0" fontId="6" fillId="7" borderId="32" xfId="0" applyFont="1" applyFill="1" applyBorder="1" applyAlignment="1">
      <alignment horizontal="left" vertical="center"/>
    </xf>
    <xf numFmtId="0" fontId="6" fillId="7" borderId="32" xfId="0" applyFont="1" applyFill="1" applyBorder="1" applyAlignment="1">
      <alignment horizontal="center" vertical="center"/>
    </xf>
    <xf numFmtId="0" fontId="0" fillId="7" borderId="32" xfId="0" applyFill="1" applyBorder="1" applyAlignment="1">
      <alignment horizontal="center" vertical="center"/>
    </xf>
    <xf numFmtId="0" fontId="6" fillId="7" borderId="33" xfId="0" applyFont="1" applyFill="1" applyBorder="1" applyAlignment="1">
      <alignment horizontal="center" vertical="center"/>
    </xf>
    <xf numFmtId="0" fontId="0" fillId="0" borderId="58" xfId="0" applyBorder="1" applyAlignment="1">
      <alignment horizontal="center" vertical="center"/>
    </xf>
    <xf numFmtId="166" fontId="5" fillId="5" borderId="15" xfId="2" applyNumberFormat="1" applyFont="1" applyFill="1" applyBorder="1" applyAlignment="1">
      <alignment horizontal="center" vertical="center"/>
    </xf>
    <xf numFmtId="0" fontId="0" fillId="5" borderId="25" xfId="0" applyFill="1" applyBorder="1" applyAlignment="1">
      <alignment horizontal="left" vertical="center"/>
    </xf>
    <xf numFmtId="0" fontId="0" fillId="5" borderId="25" xfId="0" applyFill="1" applyBorder="1" applyAlignment="1">
      <alignment horizontal="center" vertical="center"/>
    </xf>
    <xf numFmtId="0" fontId="0" fillId="5" borderId="24" xfId="0" applyFill="1" applyBorder="1" applyAlignment="1">
      <alignment horizontal="left" vertical="center"/>
    </xf>
    <xf numFmtId="0" fontId="0" fillId="5" borderId="37" xfId="0" applyFill="1" applyBorder="1" applyAlignment="1">
      <alignment horizontal="center" vertical="center"/>
    </xf>
    <xf numFmtId="166" fontId="6" fillId="5" borderId="15" xfId="2" applyNumberFormat="1" applyFont="1" applyFill="1" applyBorder="1" applyAlignment="1">
      <alignment horizontal="center" vertical="center"/>
    </xf>
    <xf numFmtId="0" fontId="16" fillId="0" borderId="0" xfId="0" applyFont="1" applyAlignment="1">
      <alignment horizontal="right" vertical="center"/>
    </xf>
    <xf numFmtId="0" fontId="17" fillId="0" borderId="0" xfId="0" applyFont="1" applyAlignment="1">
      <alignment horizontal="left" vertical="center"/>
    </xf>
    <xf numFmtId="0" fontId="0" fillId="0" borderId="51" xfId="0" applyBorder="1" applyAlignment="1" applyProtection="1">
      <alignment horizontal="center" vertical="center"/>
      <protection locked="0"/>
    </xf>
    <xf numFmtId="166" fontId="0" fillId="0" borderId="3" xfId="2" applyNumberFormat="1"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166" fontId="0" fillId="0" borderId="6" xfId="2" applyNumberFormat="1" applyFont="1" applyBorder="1" applyAlignment="1" applyProtection="1">
      <alignment horizontal="center" vertical="center"/>
      <protection locked="0"/>
    </xf>
    <xf numFmtId="0" fontId="0" fillId="0" borderId="52" xfId="0" applyBorder="1" applyAlignment="1" applyProtection="1">
      <alignment horizontal="center" vertical="center"/>
      <protection locked="0"/>
    </xf>
    <xf numFmtId="172" fontId="0" fillId="0" borderId="3" xfId="0" applyNumberForma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172" fontId="0" fillId="0" borderId="6" xfId="0" applyNumberForma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172" fontId="0" fillId="0" borderId="9" xfId="0" applyNumberFormat="1"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0" xfId="0" applyAlignment="1" applyProtection="1">
      <alignment horizontal="center" vertical="center"/>
      <protection locked="0"/>
    </xf>
    <xf numFmtId="166" fontId="0" fillId="0" borderId="9" xfId="2" applyNumberFormat="1" applyFont="1" applyBorder="1" applyAlignment="1" applyProtection="1">
      <alignment horizontal="center" vertical="center"/>
      <protection locked="0"/>
    </xf>
    <xf numFmtId="166" fontId="0" fillId="0" borderId="50" xfId="2" applyNumberFormat="1"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166" fontId="6" fillId="0" borderId="2" xfId="2" applyNumberFormat="1" applyFont="1" applyFill="1" applyBorder="1" applyAlignment="1" applyProtection="1">
      <alignment horizontal="center" vertical="center"/>
      <protection locked="0"/>
    </xf>
    <xf numFmtId="166" fontId="0" fillId="5" borderId="14" xfId="0" applyNumberFormat="1" applyFill="1" applyBorder="1" applyAlignment="1" applyProtection="1">
      <alignment horizontal="center" vertical="center"/>
      <protection locked="0"/>
    </xf>
    <xf numFmtId="169" fontId="0" fillId="5" borderId="4" xfId="0" applyNumberFormat="1" applyFill="1" applyBorder="1" applyAlignment="1" applyProtection="1">
      <alignment horizontal="center" vertical="center"/>
      <protection locked="0"/>
    </xf>
    <xf numFmtId="169" fontId="0" fillId="5" borderId="5" xfId="0" applyNumberFormat="1" applyFill="1" applyBorder="1" applyAlignment="1" applyProtection="1">
      <alignment horizontal="center" vertical="center"/>
      <protection locked="0"/>
    </xf>
    <xf numFmtId="169" fontId="0" fillId="5" borderId="6" xfId="0" applyNumberFormat="1" applyFill="1" applyBorder="1" applyAlignment="1" applyProtection="1">
      <alignment horizontal="center" vertical="center"/>
      <protection locked="0"/>
    </xf>
    <xf numFmtId="0" fontId="16" fillId="0" borderId="0" xfId="0" applyFont="1" applyAlignment="1">
      <alignment horizontal="left" vertical="top"/>
    </xf>
    <xf numFmtId="166" fontId="0" fillId="0" borderId="13" xfId="2" applyNumberFormat="1" applyFont="1" applyBorder="1" applyAlignment="1" applyProtection="1">
      <alignment horizontal="center" vertical="center"/>
      <protection locked="0"/>
    </xf>
    <xf numFmtId="166" fontId="0" fillId="0" borderId="15" xfId="2" applyNumberFormat="1" applyFont="1" applyBorder="1" applyAlignment="1" applyProtection="1">
      <alignment horizontal="center" vertical="center"/>
      <protection locked="0"/>
    </xf>
    <xf numFmtId="1" fontId="12" fillId="3" borderId="41" xfId="0" applyNumberFormat="1" applyFont="1" applyFill="1" applyBorder="1" applyAlignment="1">
      <alignment horizontal="center" vertical="center"/>
    </xf>
    <xf numFmtId="166" fontId="0" fillId="0" borderId="38" xfId="2" applyNumberFormat="1" applyFont="1" applyBorder="1" applyAlignment="1" applyProtection="1">
      <alignment horizontal="center" vertical="center"/>
      <protection locked="0"/>
    </xf>
    <xf numFmtId="166" fontId="0" fillId="0" borderId="63" xfId="2" applyNumberFormat="1" applyFont="1" applyBorder="1" applyAlignment="1" applyProtection="1">
      <alignment horizontal="center" vertical="center"/>
      <protection locked="0"/>
    </xf>
    <xf numFmtId="166" fontId="9" fillId="3" borderId="31" xfId="2" applyNumberFormat="1" applyFont="1" applyFill="1" applyBorder="1" applyAlignment="1">
      <alignment horizontal="center" vertical="center"/>
    </xf>
    <xf numFmtId="169" fontId="9" fillId="3" borderId="31" xfId="0" applyNumberFormat="1" applyFont="1" applyFill="1" applyBorder="1" applyAlignment="1">
      <alignment horizontal="center" vertical="center"/>
    </xf>
    <xf numFmtId="0" fontId="0" fillId="0" borderId="0" xfId="0" applyAlignment="1">
      <alignment horizontal="center" vertical="center" wrapText="1"/>
    </xf>
    <xf numFmtId="166" fontId="0" fillId="0" borderId="60" xfId="2" applyNumberFormat="1" applyFont="1" applyBorder="1" applyAlignment="1" applyProtection="1">
      <alignment horizontal="center" vertical="center"/>
      <protection locked="0"/>
    </xf>
    <xf numFmtId="166" fontId="6" fillId="0" borderId="52" xfId="2" applyNumberFormat="1" applyFont="1" applyBorder="1" applyAlignment="1">
      <alignment horizontal="center" vertical="center"/>
    </xf>
    <xf numFmtId="166" fontId="6" fillId="0" borderId="5" xfId="2" applyNumberFormat="1" applyFont="1" applyBorder="1" applyAlignment="1">
      <alignment horizontal="center" vertical="center"/>
    </xf>
    <xf numFmtId="166" fontId="6" fillId="0" borderId="8" xfId="2" applyNumberFormat="1" applyFont="1" applyBorder="1" applyAlignment="1">
      <alignment horizontal="center" vertical="center"/>
    </xf>
    <xf numFmtId="0" fontId="0" fillId="0" borderId="0" xfId="0" applyAlignment="1">
      <alignment horizontal="center" vertical="top"/>
    </xf>
    <xf numFmtId="0" fontId="6" fillId="0" borderId="0" xfId="0" applyFont="1" applyAlignment="1">
      <alignment horizontal="left" vertical="center"/>
    </xf>
    <xf numFmtId="0" fontId="31" fillId="0" borderId="0" xfId="0" applyFont="1" applyAlignment="1">
      <alignment horizontal="left" vertical="center"/>
    </xf>
    <xf numFmtId="167" fontId="0" fillId="0" borderId="2" xfId="0" applyNumberFormat="1" applyBorder="1" applyAlignment="1" applyProtection="1">
      <alignment horizontal="center" vertical="center"/>
      <protection locked="0"/>
    </xf>
    <xf numFmtId="169" fontId="0" fillId="0" borderId="8" xfId="0" applyNumberFormat="1" applyBorder="1" applyAlignment="1">
      <alignment horizontal="center" vertical="center"/>
    </xf>
    <xf numFmtId="0" fontId="15" fillId="0" borderId="1" xfId="0" applyFont="1" applyBorder="1" applyAlignment="1">
      <alignment horizontal="left" vertical="center"/>
    </xf>
    <xf numFmtId="0" fontId="15" fillId="0" borderId="45" xfId="0" applyFont="1" applyBorder="1" applyAlignment="1">
      <alignment horizontal="left" vertical="center"/>
    </xf>
    <xf numFmtId="0" fontId="0" fillId="0" borderId="0" xfId="0" applyAlignment="1" applyProtection="1">
      <alignment horizontal="center" vertical="center" wrapText="1"/>
      <protection locked="0"/>
    </xf>
    <xf numFmtId="0" fontId="13" fillId="0" borderId="54" xfId="0" applyFont="1" applyBorder="1" applyAlignment="1" applyProtection="1">
      <alignment horizontal="left" vertical="center"/>
      <protection locked="0"/>
    </xf>
    <xf numFmtId="0" fontId="0" fillId="0" borderId="1" xfId="0" applyBorder="1"/>
    <xf numFmtId="0" fontId="0" fillId="0" borderId="45" xfId="0" applyBorder="1"/>
    <xf numFmtId="0" fontId="13" fillId="0" borderId="1" xfId="0" applyFont="1" applyBorder="1" applyAlignment="1" applyProtection="1">
      <alignment horizontal="left" vertical="center"/>
      <protection locked="0"/>
    </xf>
    <xf numFmtId="169" fontId="0" fillId="0" borderId="20" xfId="0" applyNumberFormat="1" applyBorder="1" applyAlignment="1" applyProtection="1">
      <alignment horizontal="center" vertical="center"/>
      <protection locked="0"/>
    </xf>
    <xf numFmtId="169" fontId="0" fillId="0" borderId="22" xfId="0" applyNumberFormat="1" applyBorder="1" applyAlignment="1" applyProtection="1">
      <alignment horizontal="center" vertical="center"/>
      <protection locked="0"/>
    </xf>
    <xf numFmtId="169" fontId="0" fillId="0" borderId="24" xfId="0" applyNumberFormat="1" applyBorder="1" applyAlignment="1" applyProtection="1">
      <alignment horizontal="center" vertical="center"/>
      <protection locked="0"/>
    </xf>
    <xf numFmtId="0" fontId="6" fillId="0" borderId="32" xfId="0" applyFont="1" applyBorder="1" applyAlignment="1">
      <alignment vertical="center"/>
    </xf>
    <xf numFmtId="0" fontId="6" fillId="0" borderId="33" xfId="0" applyFont="1" applyBorder="1" applyAlignment="1">
      <alignment vertical="center"/>
    </xf>
    <xf numFmtId="0" fontId="5" fillId="0" borderId="25" xfId="4" applyFont="1" applyBorder="1" applyAlignment="1" applyProtection="1">
      <alignment horizontal="left" wrapText="1"/>
    </xf>
    <xf numFmtId="0" fontId="5" fillId="0" borderId="37" xfId="4" applyFont="1" applyBorder="1" applyAlignment="1" applyProtection="1">
      <alignment horizontal="left" wrapText="1"/>
    </xf>
    <xf numFmtId="0" fontId="0" fillId="0" borderId="73" xfId="0" applyBorder="1" applyAlignment="1" applyProtection="1">
      <alignment vertical="center"/>
      <protection locked="0"/>
    </xf>
    <xf numFmtId="0" fontId="13" fillId="0" borderId="59" xfId="4" applyFont="1" applyBorder="1" applyAlignment="1" applyProtection="1">
      <alignment horizontal="center" vertical="top" wrapText="1"/>
      <protection locked="0"/>
    </xf>
    <xf numFmtId="0" fontId="0" fillId="0" borderId="24" xfId="0" applyBorder="1" applyAlignment="1" applyProtection="1">
      <alignment vertical="center"/>
      <protection locked="0"/>
    </xf>
    <xf numFmtId="0" fontId="0" fillId="0" borderId="25" xfId="0" applyBorder="1" applyAlignment="1">
      <alignment vertical="center"/>
    </xf>
    <xf numFmtId="0" fontId="0" fillId="0" borderId="37" xfId="0" applyBorder="1" applyAlignment="1">
      <alignment vertical="center"/>
    </xf>
    <xf numFmtId="166" fontId="6" fillId="7" borderId="33" xfId="2" applyNumberFormat="1" applyFont="1" applyFill="1" applyBorder="1" applyAlignment="1">
      <alignment horizontal="center" vertical="center"/>
    </xf>
    <xf numFmtId="168" fontId="16" fillId="0" borderId="0" xfId="0" quotePrefix="1" applyNumberFormat="1" applyFont="1" applyAlignment="1">
      <alignment horizontal="right" vertical="center"/>
    </xf>
    <xf numFmtId="0" fontId="34" fillId="0" borderId="0" xfId="21" applyFont="1" applyAlignment="1">
      <alignment vertical="top"/>
    </xf>
    <xf numFmtId="0" fontId="37" fillId="0" borderId="0" xfId="54" applyFont="1" applyAlignment="1" applyProtection="1">
      <alignment horizontal="left" vertical="top"/>
      <protection hidden="1"/>
    </xf>
    <xf numFmtId="0" fontId="36" fillId="0" borderId="0" xfId="0" applyFont="1" applyAlignment="1">
      <alignment horizontal="right" vertical="center"/>
    </xf>
    <xf numFmtId="0" fontId="39" fillId="3" borderId="32" xfId="21" applyFont="1" applyFill="1" applyBorder="1" applyAlignment="1">
      <alignment vertical="top"/>
    </xf>
    <xf numFmtId="0" fontId="38" fillId="3" borderId="33" xfId="21" applyFont="1" applyFill="1" applyBorder="1" applyAlignment="1">
      <alignment horizontal="center"/>
    </xf>
    <xf numFmtId="0" fontId="40" fillId="0" borderId="0" xfId="21" applyFont="1" applyAlignment="1" applyProtection="1">
      <alignment horizontal="left" vertical="top"/>
      <protection hidden="1"/>
    </xf>
    <xf numFmtId="168" fontId="41" fillId="0" borderId="46" xfId="21" applyNumberFormat="1" applyFont="1" applyBorder="1" applyAlignment="1">
      <alignment horizontal="left" vertical="top"/>
    </xf>
    <xf numFmtId="0" fontId="37" fillId="0" borderId="0" xfId="21" applyFont="1" applyAlignment="1" applyProtection="1">
      <alignment horizontal="left" vertical="top"/>
      <protection hidden="1"/>
    </xf>
    <xf numFmtId="0" fontId="39" fillId="3" borderId="32" xfId="21" applyFont="1" applyFill="1" applyBorder="1" applyAlignment="1">
      <alignment horizontal="center" vertical="top"/>
    </xf>
    <xf numFmtId="0" fontId="39" fillId="3" borderId="32" xfId="21" applyFont="1" applyFill="1" applyBorder="1" applyAlignment="1">
      <alignment horizontal="left" vertical="top"/>
    </xf>
    <xf numFmtId="168" fontId="36" fillId="0" borderId="46" xfId="54" applyNumberFormat="1" applyFont="1" applyBorder="1" applyAlignment="1">
      <alignment horizontal="left" vertical="top"/>
    </xf>
    <xf numFmtId="168" fontId="36" fillId="0" borderId="0" xfId="54" applyNumberFormat="1" applyFont="1" applyAlignment="1">
      <alignment horizontal="left" vertical="top"/>
    </xf>
    <xf numFmtId="0" fontId="36" fillId="0" borderId="0" xfId="54" applyFont="1" applyAlignment="1">
      <alignment vertical="top"/>
    </xf>
    <xf numFmtId="0" fontId="34" fillId="0" borderId="0" xfId="53" applyFont="1" applyBorder="1" applyAlignment="1"/>
    <xf numFmtId="0" fontId="36" fillId="0" borderId="0" xfId="54" applyFont="1"/>
    <xf numFmtId="0" fontId="34" fillId="0" borderId="0" xfId="21" applyFont="1"/>
    <xf numFmtId="0" fontId="35" fillId="0" borderId="0" xfId="21" applyFont="1"/>
    <xf numFmtId="0" fontId="38" fillId="8" borderId="31" xfId="55" applyFont="1" applyBorder="1" applyAlignment="1"/>
    <xf numFmtId="0" fontId="38" fillId="3" borderId="32" xfId="21" applyFont="1" applyFill="1" applyBorder="1"/>
    <xf numFmtId="0" fontId="41" fillId="2" borderId="55" xfId="21" applyFont="1" applyFill="1" applyBorder="1"/>
    <xf numFmtId="0" fontId="41" fillId="0" borderId="0" xfId="21" applyFont="1"/>
    <xf numFmtId="0" fontId="42" fillId="3" borderId="32" xfId="21" applyFont="1" applyFill="1" applyBorder="1"/>
    <xf numFmtId="0" fontId="42" fillId="3" borderId="33" xfId="21" applyFont="1" applyFill="1" applyBorder="1"/>
    <xf numFmtId="0" fontId="39" fillId="3" borderId="32" xfId="21" applyFont="1" applyFill="1" applyBorder="1"/>
    <xf numFmtId="0" fontId="41" fillId="0" borderId="55" xfId="21" applyFont="1" applyBorder="1" applyAlignment="1" applyProtection="1">
      <alignment horizontal="center" vertical="center"/>
      <protection locked="0"/>
    </xf>
    <xf numFmtId="0" fontId="41" fillId="0" borderId="2" xfId="21" applyFont="1" applyBorder="1" applyAlignment="1" applyProtection="1">
      <alignment horizontal="center" vertical="center"/>
      <protection locked="0"/>
    </xf>
    <xf numFmtId="0" fontId="41" fillId="2" borderId="2" xfId="21" applyFont="1" applyFill="1" applyBorder="1" applyAlignment="1">
      <alignment horizontal="center" vertical="center"/>
    </xf>
    <xf numFmtId="0" fontId="41" fillId="2" borderId="56" xfId="21" applyFont="1" applyFill="1" applyBorder="1" applyAlignment="1">
      <alignment horizontal="center" vertical="center"/>
    </xf>
    <xf numFmtId="0" fontId="41" fillId="0" borderId="57" xfId="21" applyFont="1" applyBorder="1" applyAlignment="1" applyProtection="1">
      <alignment horizontal="center" vertical="center"/>
      <protection locked="0"/>
    </xf>
    <xf numFmtId="0" fontId="41" fillId="0" borderId="56" xfId="21" applyFont="1" applyBorder="1" applyAlignment="1" applyProtection="1">
      <alignment horizontal="center" vertical="center"/>
      <protection locked="0"/>
    </xf>
    <xf numFmtId="0" fontId="36" fillId="0" borderId="2" xfId="54" applyFont="1" applyBorder="1" applyAlignment="1" applyProtection="1">
      <alignment horizontal="center" vertical="center"/>
      <protection locked="0"/>
    </xf>
    <xf numFmtId="0" fontId="0" fillId="0" borderId="0" xfId="0" quotePrefix="1" applyAlignment="1">
      <alignment horizontal="center" vertical="center"/>
    </xf>
    <xf numFmtId="0" fontId="0" fillId="0" borderId="37" xfId="0" applyBorder="1" applyAlignment="1">
      <alignment horizontal="left" vertical="center"/>
    </xf>
    <xf numFmtId="0" fontId="0" fillId="0" borderId="35" xfId="0" applyBorder="1" applyAlignment="1">
      <alignment horizontal="left" vertical="center"/>
    </xf>
    <xf numFmtId="0" fontId="32" fillId="0" borderId="20" xfId="0" applyFont="1" applyBorder="1" applyAlignment="1">
      <alignment horizontal="right" vertical="center"/>
    </xf>
    <xf numFmtId="0" fontId="49" fillId="0" borderId="58" xfId="4" applyFont="1" applyFill="1" applyBorder="1" applyAlignment="1" applyProtection="1">
      <alignment vertical="center"/>
    </xf>
    <xf numFmtId="166" fontId="6" fillId="0" borderId="26" xfId="2" applyNumberFormat="1" applyFont="1" applyFill="1" applyBorder="1" applyAlignment="1" applyProtection="1">
      <alignment horizontal="center" vertical="center"/>
      <protection locked="0"/>
    </xf>
    <xf numFmtId="166" fontId="6" fillId="0" borderId="52" xfId="2" applyNumberFormat="1" applyFont="1" applyFill="1" applyBorder="1" applyAlignment="1" applyProtection="1">
      <alignment horizontal="center" vertical="center"/>
      <protection locked="0"/>
    </xf>
    <xf numFmtId="166" fontId="6" fillId="0" borderId="63" xfId="2" applyNumberFormat="1" applyFont="1" applyFill="1" applyBorder="1" applyAlignment="1" applyProtection="1">
      <alignment horizontal="center" vertical="center"/>
      <protection locked="0"/>
    </xf>
    <xf numFmtId="0" fontId="0" fillId="7" borderId="24" xfId="0" applyFill="1" applyBorder="1" applyAlignment="1">
      <alignment horizontal="center" vertical="center"/>
    </xf>
    <xf numFmtId="0" fontId="0" fillId="7" borderId="37" xfId="0" applyFill="1" applyBorder="1" applyAlignment="1">
      <alignment horizontal="left" vertical="center"/>
    </xf>
    <xf numFmtId="166" fontId="0" fillId="7" borderId="7" xfId="2" applyNumberFormat="1" applyFont="1" applyFill="1" applyBorder="1" applyAlignment="1">
      <alignment horizontal="center" vertical="center"/>
    </xf>
    <xf numFmtId="166" fontId="0" fillId="7" borderId="8" xfId="2" applyNumberFormat="1" applyFont="1" applyFill="1" applyBorder="1" applyAlignment="1">
      <alignment horizontal="center" vertical="center"/>
    </xf>
    <xf numFmtId="166" fontId="0" fillId="7" borderId="9" xfId="2" applyNumberFormat="1" applyFont="1" applyFill="1" applyBorder="1" applyAlignment="1">
      <alignment horizontal="center" vertical="center"/>
    </xf>
    <xf numFmtId="0" fontId="32" fillId="7" borderId="24" xfId="0" applyFont="1" applyFill="1" applyBorder="1" applyAlignment="1">
      <alignment horizontal="right" vertical="center"/>
    </xf>
    <xf numFmtId="0" fontId="6" fillId="7" borderId="37" xfId="0" applyFont="1" applyFill="1" applyBorder="1" applyAlignment="1">
      <alignment horizontal="left" vertical="center"/>
    </xf>
    <xf numFmtId="166" fontId="6" fillId="7" borderId="28" xfId="2" applyNumberFormat="1" applyFont="1" applyFill="1" applyBorder="1" applyAlignment="1">
      <alignment horizontal="center" vertical="center"/>
    </xf>
    <xf numFmtId="166" fontId="6" fillId="7" borderId="25" xfId="2" applyNumberFormat="1" applyFont="1" applyFill="1" applyBorder="1" applyAlignment="1">
      <alignment horizontal="center" vertical="center"/>
    </xf>
    <xf numFmtId="166" fontId="6" fillId="7" borderId="15" xfId="2" applyNumberFormat="1" applyFont="1" applyFill="1" applyBorder="1" applyAlignment="1">
      <alignment horizontal="center" vertical="center"/>
    </xf>
    <xf numFmtId="166" fontId="6" fillId="7" borderId="2" xfId="2" applyNumberFormat="1" applyFont="1" applyFill="1" applyBorder="1" applyAlignment="1" applyProtection="1">
      <alignment horizontal="center" vertical="center"/>
      <protection locked="0"/>
    </xf>
    <xf numFmtId="0" fontId="0" fillId="0" borderId="46" xfId="0" applyBorder="1" applyAlignment="1">
      <alignment horizontal="left" vertical="center"/>
    </xf>
    <xf numFmtId="0" fontId="0" fillId="0" borderId="49" xfId="0" applyBorder="1" applyAlignment="1">
      <alignment horizontal="center" vertical="center"/>
    </xf>
    <xf numFmtId="166" fontId="0" fillId="0" borderId="50" xfId="0" applyNumberFormat="1" applyBorder="1" applyAlignment="1" applyProtection="1">
      <alignment horizontal="center" vertical="center"/>
      <protection locked="0"/>
    </xf>
    <xf numFmtId="166" fontId="5" fillId="0" borderId="15" xfId="2" applyNumberFormat="1" applyFont="1" applyFill="1" applyBorder="1" applyAlignment="1">
      <alignment horizontal="center" vertical="center"/>
    </xf>
    <xf numFmtId="0" fontId="0" fillId="7" borderId="39" xfId="0" applyFill="1" applyBorder="1" applyAlignment="1">
      <alignment horizontal="left" vertical="center"/>
    </xf>
    <xf numFmtId="166" fontId="5" fillId="7" borderId="14" xfId="2" applyNumberFormat="1" applyFont="1" applyFill="1" applyBorder="1" applyAlignment="1">
      <alignment horizontal="center" vertical="center"/>
    </xf>
    <xf numFmtId="0" fontId="0" fillId="7" borderId="59" xfId="0" applyFill="1" applyBorder="1" applyAlignment="1">
      <alignment horizontal="center" vertical="center"/>
    </xf>
    <xf numFmtId="0" fontId="0" fillId="7" borderId="22" xfId="0" applyFill="1" applyBorder="1" applyAlignment="1">
      <alignment horizontal="center" vertical="center"/>
    </xf>
    <xf numFmtId="0" fontId="0" fillId="7" borderId="36" xfId="0" applyFill="1" applyBorder="1" applyAlignment="1">
      <alignment horizontal="left" vertical="center"/>
    </xf>
    <xf numFmtId="169" fontId="0" fillId="7" borderId="51" xfId="0" applyNumberFormat="1" applyFill="1" applyBorder="1" applyAlignment="1">
      <alignment horizontal="center" vertical="center"/>
    </xf>
    <xf numFmtId="169" fontId="0" fillId="7" borderId="5" xfId="0" applyNumberFormat="1" applyFill="1" applyBorder="1" applyAlignment="1" applyProtection="1">
      <alignment horizontal="center" vertical="center"/>
      <protection locked="0"/>
    </xf>
    <xf numFmtId="169" fontId="0" fillId="7" borderId="6" xfId="0" applyNumberFormat="1" applyFill="1" applyBorder="1" applyAlignment="1" applyProtection="1">
      <alignment horizontal="center" vertical="center"/>
      <protection locked="0"/>
    </xf>
    <xf numFmtId="169" fontId="0" fillId="7" borderId="13" xfId="0" applyNumberFormat="1" applyFill="1" applyBorder="1" applyAlignment="1">
      <alignment horizontal="center" vertical="center"/>
    </xf>
    <xf numFmtId="0" fontId="0" fillId="0" borderId="54" xfId="0" applyBorder="1" applyProtection="1">
      <protection locked="0"/>
    </xf>
    <xf numFmtId="0" fontId="9" fillId="3" borderId="33" xfId="0" applyFont="1" applyFill="1" applyBorder="1" applyAlignment="1">
      <alignment horizontal="center" vertical="center"/>
    </xf>
    <xf numFmtId="0" fontId="12" fillId="3" borderId="2" xfId="0" applyFont="1" applyFill="1" applyBorder="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center" vertical="center"/>
      <protection locked="0"/>
    </xf>
    <xf numFmtId="14" fontId="35" fillId="0" borderId="0" xfId="6" applyNumberFormat="1" applyFont="1"/>
    <xf numFmtId="0" fontId="35" fillId="0" borderId="0" xfId="56" applyFont="1" applyFill="1" applyBorder="1" applyAlignment="1">
      <alignment vertical="center"/>
    </xf>
    <xf numFmtId="0" fontId="35" fillId="0" borderId="0" xfId="21" applyFont="1" applyAlignment="1">
      <alignment vertical="top"/>
    </xf>
    <xf numFmtId="0" fontId="34" fillId="0" borderId="0" xfId="5" applyFont="1" applyBorder="1"/>
    <xf numFmtId="0" fontId="36" fillId="0" borderId="0" xfId="6" applyFont="1"/>
    <xf numFmtId="0" fontId="38" fillId="3" borderId="2" xfId="43" applyFont="1" applyFill="1" applyBorder="1"/>
    <xf numFmtId="0" fontId="39" fillId="0" borderId="0" xfId="6" applyFont="1"/>
    <xf numFmtId="0" fontId="36" fillId="0" borderId="0" xfId="6" applyFont="1" applyAlignment="1">
      <alignment horizontal="left" vertical="center" wrapText="1"/>
    </xf>
    <xf numFmtId="0" fontId="43" fillId="0" borderId="0" xfId="4" applyFont="1" applyAlignment="1" applyProtection="1">
      <alignment horizontal="left" vertical="top" wrapText="1"/>
    </xf>
    <xf numFmtId="0" fontId="36" fillId="0" borderId="0" xfId="6" applyFont="1" applyAlignment="1">
      <alignment horizontal="left" wrapText="1"/>
    </xf>
    <xf numFmtId="0" fontId="36" fillId="0" borderId="0" xfId="6" applyFont="1" applyAlignment="1">
      <alignment wrapText="1"/>
    </xf>
    <xf numFmtId="0" fontId="36" fillId="0" borderId="0" xfId="6" applyFont="1" applyAlignment="1">
      <alignment vertical="center"/>
    </xf>
    <xf numFmtId="0" fontId="36" fillId="0" borderId="0" xfId="6" applyFont="1" applyAlignment="1">
      <alignment horizontal="left"/>
    </xf>
    <xf numFmtId="0" fontId="51" fillId="0" borderId="0" xfId="6" applyFont="1" applyAlignment="1">
      <alignment horizontal="left" wrapText="1"/>
    </xf>
    <xf numFmtId="0" fontId="52" fillId="0" borderId="0" xfId="6" applyFont="1" applyAlignment="1">
      <alignment horizontal="left" wrapText="1" indent="1"/>
    </xf>
    <xf numFmtId="0" fontId="52" fillId="0" borderId="0" xfId="6" applyFont="1" applyAlignment="1">
      <alignment horizontal="left" wrapText="1"/>
    </xf>
    <xf numFmtId="0" fontId="52" fillId="0" borderId="0" xfId="6" applyFont="1" applyAlignment="1">
      <alignment vertical="top" wrapText="1"/>
    </xf>
    <xf numFmtId="0" fontId="52" fillId="0" borderId="0" xfId="6" applyFont="1" applyAlignment="1">
      <alignment horizontal="left" vertical="top" wrapText="1"/>
    </xf>
    <xf numFmtId="0" fontId="52" fillId="0" borderId="0" xfId="6" applyFont="1" applyAlignment="1">
      <alignment horizontal="left"/>
    </xf>
    <xf numFmtId="0" fontId="35" fillId="0" borderId="0" xfId="43" applyFont="1" applyFill="1" applyBorder="1"/>
    <xf numFmtId="0" fontId="43" fillId="0" borderId="0" xfId="4" applyFont="1" applyAlignment="1" applyProtection="1">
      <alignment wrapText="1"/>
    </xf>
    <xf numFmtId="0" fontId="43" fillId="0" borderId="0" xfId="4" applyFont="1" applyAlignment="1" applyProtection="1"/>
    <xf numFmtId="0" fontId="34" fillId="0" borderId="0" xfId="56" applyFont="1" applyBorder="1"/>
    <xf numFmtId="0" fontId="35" fillId="0" borderId="0" xfId="54" applyFont="1" applyAlignment="1">
      <alignment horizontal="center"/>
    </xf>
    <xf numFmtId="0" fontId="36" fillId="0" borderId="0" xfId="54" applyFont="1" applyAlignment="1">
      <alignment horizontal="left" vertical="top"/>
    </xf>
    <xf numFmtId="0" fontId="36" fillId="0" borderId="0" xfId="54" applyFont="1" applyAlignment="1">
      <alignment horizontal="center"/>
    </xf>
    <xf numFmtId="0" fontId="38" fillId="3" borderId="31" xfId="43" applyFont="1" applyFill="1" applyBorder="1"/>
    <xf numFmtId="0" fontId="39" fillId="3" borderId="32" xfId="54" applyFont="1" applyFill="1" applyBorder="1"/>
    <xf numFmtId="0" fontId="39" fillId="3" borderId="32" xfId="54" applyFont="1" applyFill="1" applyBorder="1" applyAlignment="1">
      <alignment vertical="top"/>
    </xf>
    <xf numFmtId="0" fontId="39" fillId="3" borderId="33" xfId="54" applyFont="1" applyFill="1" applyBorder="1" applyAlignment="1">
      <alignment horizontal="center"/>
    </xf>
    <xf numFmtId="0" fontId="36" fillId="0" borderId="0" xfId="0" applyFont="1"/>
    <xf numFmtId="168" fontId="36" fillId="0" borderId="0" xfId="54" applyNumberFormat="1" applyFont="1" applyAlignment="1">
      <alignment vertical="top"/>
    </xf>
    <xf numFmtId="0" fontId="41" fillId="0" borderId="55" xfId="21" applyFont="1" applyBorder="1" applyAlignment="1" applyProtection="1">
      <alignment horizontal="center" vertical="center" wrapText="1"/>
      <protection locked="0"/>
    </xf>
    <xf numFmtId="0" fontId="36" fillId="0" borderId="49" xfId="54" applyFont="1" applyBorder="1" applyAlignment="1">
      <alignment horizontal="left"/>
    </xf>
    <xf numFmtId="0" fontId="36" fillId="2" borderId="2" xfId="54" applyFont="1" applyFill="1" applyBorder="1" applyAlignment="1">
      <alignment horizontal="center"/>
    </xf>
    <xf numFmtId="0" fontId="51" fillId="0" borderId="0" xfId="0" applyFont="1" applyAlignment="1">
      <alignment vertical="center" wrapText="1"/>
    </xf>
    <xf numFmtId="0" fontId="35" fillId="0" borderId="0" xfId="0" applyFont="1" applyAlignment="1">
      <alignment vertical="center"/>
    </xf>
    <xf numFmtId="0" fontId="38" fillId="0" borderId="0" xfId="0" applyFont="1" applyAlignment="1">
      <alignment horizontal="left" vertical="center"/>
    </xf>
    <xf numFmtId="0" fontId="48" fillId="0" borderId="0" xfId="0" applyFont="1"/>
    <xf numFmtId="0" fontId="36" fillId="0" borderId="0" xfId="0" applyFont="1" applyAlignment="1" applyProtection="1">
      <alignment horizontal="left"/>
      <protection locked="0"/>
    </xf>
    <xf numFmtId="167" fontId="36" fillId="0" borderId="5" xfId="0" applyNumberFormat="1" applyFont="1" applyBorder="1" applyAlignment="1" applyProtection="1">
      <alignment horizontal="center" vertical="center"/>
      <protection locked="0"/>
    </xf>
    <xf numFmtId="0" fontId="36" fillId="0" borderId="0" xfId="0" applyFont="1" applyAlignment="1">
      <alignment horizontal="center" vertical="center"/>
    </xf>
    <xf numFmtId="0" fontId="36" fillId="0" borderId="5" xfId="0" applyFont="1" applyBorder="1" applyAlignment="1" applyProtection="1">
      <alignment horizontal="center"/>
      <protection locked="0"/>
    </xf>
    <xf numFmtId="166" fontId="36" fillId="0" borderId="50" xfId="2" applyNumberFormat="1" applyFont="1" applyBorder="1" applyAlignment="1">
      <alignment horizontal="center"/>
    </xf>
    <xf numFmtId="166" fontId="36" fillId="0" borderId="15" xfId="2" applyNumberFormat="1" applyFont="1" applyBorder="1" applyAlignment="1">
      <alignment horizontal="center"/>
    </xf>
    <xf numFmtId="0" fontId="51" fillId="0" borderId="0" xfId="0" applyFont="1" applyProtection="1">
      <protection hidden="1"/>
    </xf>
    <xf numFmtId="0" fontId="36" fillId="0" borderId="0" xfId="0" applyFont="1" applyAlignment="1">
      <alignment horizontal="center"/>
    </xf>
    <xf numFmtId="0" fontId="53" fillId="0" borderId="0" xfId="0" applyFont="1"/>
    <xf numFmtId="0" fontId="36" fillId="0" borderId="41" xfId="0" applyFont="1" applyBorder="1" applyAlignment="1">
      <alignment horizontal="center" vertical="center"/>
    </xf>
    <xf numFmtId="0" fontId="36" fillId="0" borderId="40" xfId="0" applyFont="1" applyBorder="1" applyAlignment="1">
      <alignment horizontal="center" vertical="center"/>
    </xf>
    <xf numFmtId="0" fontId="36" fillId="0" borderId="42" xfId="0" applyFont="1" applyBorder="1" applyAlignment="1">
      <alignment horizontal="center" vertical="center"/>
    </xf>
    <xf numFmtId="166" fontId="36" fillId="0" borderId="10" xfId="2" applyNumberFormat="1" applyFont="1" applyBorder="1" applyAlignment="1">
      <alignment horizontal="center" vertical="center"/>
    </xf>
    <xf numFmtId="166" fontId="36" fillId="0" borderId="11" xfId="2" applyNumberFormat="1" applyFont="1" applyBorder="1" applyAlignment="1">
      <alignment horizontal="center" vertical="center"/>
    </xf>
    <xf numFmtId="166" fontId="36" fillId="0" borderId="12" xfId="2" applyNumberFormat="1" applyFont="1" applyBorder="1" applyAlignment="1">
      <alignment horizontal="center" vertical="center"/>
    </xf>
    <xf numFmtId="166" fontId="36" fillId="0" borderId="7" xfId="2" applyNumberFormat="1" applyFont="1" applyBorder="1" applyAlignment="1">
      <alignment horizontal="center" vertical="center"/>
    </xf>
    <xf numFmtId="166" fontId="36" fillId="0" borderId="8" xfId="2" applyNumberFormat="1" applyFont="1" applyBorder="1" applyAlignment="1">
      <alignment horizontal="center" vertical="center"/>
    </xf>
    <xf numFmtId="166" fontId="36" fillId="0" borderId="9" xfId="2" applyNumberFormat="1" applyFont="1" applyBorder="1" applyAlignment="1">
      <alignment horizontal="center" vertical="center"/>
    </xf>
    <xf numFmtId="166" fontId="36" fillId="0" borderId="0" xfId="2" applyNumberFormat="1" applyFont="1" applyBorder="1" applyAlignment="1">
      <alignment horizontal="center" vertical="center"/>
    </xf>
    <xf numFmtId="166" fontId="36" fillId="0" borderId="2" xfId="2" applyNumberFormat="1" applyFont="1" applyBorder="1" applyAlignment="1">
      <alignment horizontal="center"/>
    </xf>
    <xf numFmtId="166" fontId="36" fillId="0" borderId="0" xfId="2" applyNumberFormat="1" applyFont="1" applyAlignment="1">
      <alignment horizontal="center"/>
    </xf>
    <xf numFmtId="0" fontId="38" fillId="3" borderId="2" xfId="0" applyFont="1" applyFill="1" applyBorder="1" applyAlignment="1">
      <alignment horizontal="center" vertical="center"/>
    </xf>
    <xf numFmtId="0" fontId="35" fillId="0" borderId="0" xfId="0" applyFont="1" applyAlignment="1">
      <alignment horizontal="left"/>
    </xf>
    <xf numFmtId="0" fontId="36" fillId="0" borderId="0" xfId="0" applyFont="1" applyAlignment="1">
      <alignment horizontal="left" vertical="center"/>
    </xf>
    <xf numFmtId="0" fontId="51" fillId="0" borderId="0" xfId="0" applyFont="1"/>
    <xf numFmtId="168" fontId="36" fillId="0" borderId="0" xfId="0" applyNumberFormat="1" applyFont="1" applyAlignment="1">
      <alignment horizontal="center" vertical="center"/>
    </xf>
    <xf numFmtId="5" fontId="36" fillId="0" borderId="52" xfId="1" applyNumberFormat="1" applyFont="1" applyBorder="1" applyAlignment="1" applyProtection="1">
      <alignment horizontal="center" vertical="center"/>
      <protection locked="0"/>
    </xf>
    <xf numFmtId="10" fontId="36" fillId="0" borderId="52" xfId="2" applyNumberFormat="1" applyFont="1" applyBorder="1" applyAlignment="1" applyProtection="1">
      <alignment horizontal="center" vertical="center"/>
      <protection locked="0"/>
    </xf>
    <xf numFmtId="10" fontId="36" fillId="0" borderId="3" xfId="2" applyNumberFormat="1" applyFont="1" applyBorder="1" applyAlignment="1" applyProtection="1">
      <alignment horizontal="center" vertical="center"/>
      <protection locked="0"/>
    </xf>
    <xf numFmtId="5" fontId="36" fillId="5" borderId="5" xfId="1" applyNumberFormat="1" applyFont="1" applyFill="1" applyBorder="1" applyAlignment="1" applyProtection="1">
      <alignment horizontal="center" vertical="center"/>
      <protection locked="0"/>
    </xf>
    <xf numFmtId="10" fontId="36" fillId="5" borderId="5" xfId="2" applyNumberFormat="1" applyFont="1" applyFill="1" applyBorder="1" applyAlignment="1" applyProtection="1">
      <alignment horizontal="center" vertical="center"/>
      <protection locked="0"/>
    </xf>
    <xf numFmtId="10" fontId="36" fillId="5" borderId="6" xfId="2" applyNumberFormat="1" applyFont="1" applyFill="1" applyBorder="1" applyAlignment="1" applyProtection="1">
      <alignment horizontal="center" vertical="center"/>
      <protection locked="0"/>
    </xf>
    <xf numFmtId="5" fontId="36" fillId="0" borderId="5" xfId="1" applyNumberFormat="1" applyFont="1" applyBorder="1" applyAlignment="1" applyProtection="1">
      <alignment horizontal="center" vertical="center"/>
      <protection locked="0"/>
    </xf>
    <xf numFmtId="10" fontId="36" fillId="0" borderId="5" xfId="2" applyNumberFormat="1" applyFont="1" applyBorder="1" applyAlignment="1" applyProtection="1">
      <alignment horizontal="center" vertical="center"/>
      <protection locked="0"/>
    </xf>
    <xf numFmtId="10" fontId="36" fillId="0" borderId="6" xfId="2" applyNumberFormat="1" applyFont="1" applyBorder="1" applyAlignment="1" applyProtection="1">
      <alignment horizontal="center" vertical="center"/>
      <protection locked="0"/>
    </xf>
    <xf numFmtId="5" fontId="36" fillId="5" borderId="8" xfId="1" applyNumberFormat="1" applyFont="1" applyFill="1" applyBorder="1" applyAlignment="1" applyProtection="1">
      <alignment horizontal="center" vertical="center"/>
      <protection locked="0"/>
    </xf>
    <xf numFmtId="10" fontId="36" fillId="5" borderId="8" xfId="2" applyNumberFormat="1" applyFont="1" applyFill="1" applyBorder="1" applyAlignment="1" applyProtection="1">
      <alignment horizontal="center" vertical="center"/>
      <protection locked="0"/>
    </xf>
    <xf numFmtId="10" fontId="36" fillId="5" borderId="9" xfId="2" applyNumberFormat="1" applyFont="1" applyFill="1" applyBorder="1" applyAlignment="1" applyProtection="1">
      <alignment horizontal="center" vertical="center"/>
      <protection locked="0"/>
    </xf>
    <xf numFmtId="5" fontId="38" fillId="3" borderId="2" xfId="1" applyNumberFormat="1" applyFont="1" applyFill="1" applyBorder="1" applyAlignment="1">
      <alignment horizontal="center"/>
    </xf>
    <xf numFmtId="10" fontId="38" fillId="3" borderId="2" xfId="2" applyNumberFormat="1" applyFont="1" applyFill="1" applyBorder="1" applyAlignment="1">
      <alignment horizontal="center"/>
    </xf>
    <xf numFmtId="10" fontId="38" fillId="2" borderId="2" xfId="2" applyNumberFormat="1" applyFont="1" applyFill="1" applyBorder="1" applyAlignment="1">
      <alignment horizontal="center"/>
    </xf>
    <xf numFmtId="168" fontId="36" fillId="0" borderId="0" xfId="0" applyNumberFormat="1" applyFont="1"/>
    <xf numFmtId="0" fontId="38" fillId="8" borderId="2" xfId="52" applyFont="1" applyBorder="1">
      <alignment horizontal="center" vertical="center" wrapText="1"/>
    </xf>
    <xf numFmtId="0" fontId="38" fillId="8" borderId="31" xfId="52" applyFont="1" applyBorder="1">
      <alignment horizontal="center" vertical="center" wrapText="1"/>
    </xf>
    <xf numFmtId="0" fontId="36" fillId="0" borderId="0" xfId="0" applyFont="1" applyAlignment="1">
      <alignment vertical="center" wrapText="1"/>
    </xf>
    <xf numFmtId="14" fontId="36" fillId="0" borderId="52" xfId="2" applyNumberFormat="1" applyFont="1" applyBorder="1" applyAlignment="1" applyProtection="1">
      <alignment horizontal="center"/>
      <protection locked="0"/>
    </xf>
    <xf numFmtId="166" fontId="36" fillId="0" borderId="52" xfId="2" applyNumberFormat="1" applyFont="1" applyBorder="1" applyAlignment="1" applyProtection="1">
      <alignment horizontal="center"/>
      <protection locked="0"/>
    </xf>
    <xf numFmtId="14" fontId="36" fillId="5" borderId="4" xfId="0" applyNumberFormat="1" applyFont="1" applyFill="1" applyBorder="1" applyAlignment="1" applyProtection="1">
      <alignment horizontal="center"/>
      <protection locked="0"/>
    </xf>
    <xf numFmtId="14" fontId="36" fillId="5" borderId="5" xfId="2" applyNumberFormat="1" applyFont="1" applyFill="1" applyBorder="1" applyAlignment="1" applyProtection="1">
      <alignment horizontal="center"/>
      <protection locked="0"/>
    </xf>
    <xf numFmtId="166" fontId="36" fillId="5" borderId="5" xfId="2" applyNumberFormat="1" applyFont="1" applyFill="1" applyBorder="1" applyAlignment="1" applyProtection="1">
      <alignment horizontal="center"/>
      <protection locked="0"/>
    </xf>
    <xf numFmtId="14" fontId="36" fillId="0" borderId="4" xfId="0" applyNumberFormat="1" applyFont="1" applyBorder="1" applyAlignment="1" applyProtection="1">
      <alignment horizontal="center"/>
      <protection locked="0"/>
    </xf>
    <xf numFmtId="14" fontId="36" fillId="0" borderId="5" xfId="2" applyNumberFormat="1" applyFont="1" applyBorder="1" applyAlignment="1" applyProtection="1">
      <alignment horizontal="center"/>
      <protection locked="0"/>
    </xf>
    <xf numFmtId="166" fontId="36" fillId="0" borderId="5" xfId="2" applyNumberFormat="1" applyFont="1" applyBorder="1" applyAlignment="1" applyProtection="1">
      <alignment horizontal="center"/>
      <protection locked="0"/>
    </xf>
    <xf numFmtId="14" fontId="36" fillId="0" borderId="5" xfId="2" applyNumberFormat="1" applyFont="1" applyFill="1" applyBorder="1" applyAlignment="1" applyProtection="1">
      <alignment horizontal="center"/>
      <protection locked="0"/>
    </xf>
    <xf numFmtId="166" fontId="36" fillId="0" borderId="5" xfId="2" applyNumberFormat="1" applyFont="1" applyFill="1" applyBorder="1" applyAlignment="1" applyProtection="1">
      <alignment horizontal="center"/>
      <protection locked="0"/>
    </xf>
    <xf numFmtId="14" fontId="36" fillId="5" borderId="7" xfId="0" applyNumberFormat="1" applyFont="1" applyFill="1" applyBorder="1" applyAlignment="1" applyProtection="1">
      <alignment horizontal="center"/>
      <protection locked="0"/>
    </xf>
    <xf numFmtId="14" fontId="36" fillId="5" borderId="8" xfId="2" applyNumberFormat="1" applyFont="1" applyFill="1" applyBorder="1" applyAlignment="1" applyProtection="1">
      <alignment horizontal="center"/>
      <protection locked="0"/>
    </xf>
    <xf numFmtId="166" fontId="36" fillId="5" borderId="8" xfId="2" applyNumberFormat="1" applyFont="1" applyFill="1" applyBorder="1" applyAlignment="1" applyProtection="1">
      <alignment horizontal="center"/>
      <protection locked="0"/>
    </xf>
    <xf numFmtId="0" fontId="51" fillId="0" borderId="0" xfId="0" applyFont="1" applyAlignment="1">
      <alignment horizontal="left" vertical="center"/>
    </xf>
    <xf numFmtId="168" fontId="38" fillId="3" borderId="2" xfId="0" applyNumberFormat="1" applyFont="1" applyFill="1" applyBorder="1" applyAlignment="1">
      <alignment horizontal="center" vertical="center"/>
    </xf>
    <xf numFmtId="0" fontId="38" fillId="3" borderId="2" xfId="0" applyFont="1" applyFill="1" applyBorder="1" applyAlignment="1" applyProtection="1">
      <alignment horizontal="center" vertical="center"/>
      <protection locked="0"/>
    </xf>
    <xf numFmtId="0" fontId="34" fillId="7" borderId="41" xfId="0" applyFont="1" applyFill="1" applyBorder="1" applyAlignment="1">
      <alignment horizontal="center" vertical="center"/>
    </xf>
    <xf numFmtId="0" fontId="34" fillId="7" borderId="42" xfId="0" applyFont="1" applyFill="1" applyBorder="1" applyAlignment="1">
      <alignment horizontal="center" vertical="center" wrapText="1"/>
    </xf>
    <xf numFmtId="0" fontId="36" fillId="0" borderId="10" xfId="0" applyFont="1" applyBorder="1" applyAlignment="1" applyProtection="1">
      <alignment horizontal="center" vertical="center"/>
      <protection locked="0"/>
    </xf>
    <xf numFmtId="166" fontId="36" fillId="0" borderId="58" xfId="2" applyNumberFormat="1" applyFont="1" applyBorder="1" applyAlignment="1" applyProtection="1">
      <alignment horizontal="center" vertical="center"/>
      <protection locked="0"/>
    </xf>
    <xf numFmtId="0" fontId="36" fillId="5" borderId="10" xfId="0" applyFont="1" applyFill="1" applyBorder="1" applyAlignment="1" applyProtection="1">
      <alignment horizontal="center" vertical="center"/>
      <protection locked="0"/>
    </xf>
    <xf numFmtId="166" fontId="36" fillId="5" borderId="36" xfId="2" applyNumberFormat="1" applyFont="1" applyFill="1" applyBorder="1" applyAlignment="1" applyProtection="1">
      <alignment horizontal="center" vertical="center"/>
      <protection locked="0"/>
    </xf>
    <xf numFmtId="0" fontId="36" fillId="0" borderId="4" xfId="0" applyFont="1" applyBorder="1" applyAlignment="1" applyProtection="1">
      <alignment horizontal="center" vertical="center"/>
      <protection locked="0"/>
    </xf>
    <xf numFmtId="166" fontId="36" fillId="0" borderId="36" xfId="2" applyNumberFormat="1" applyFont="1" applyBorder="1" applyAlignment="1" applyProtection="1">
      <alignment horizontal="center" vertical="center"/>
      <protection locked="0"/>
    </xf>
    <xf numFmtId="0" fontId="36" fillId="5" borderId="4" xfId="0" applyFont="1" applyFill="1" applyBorder="1" applyAlignment="1" applyProtection="1">
      <alignment horizontal="center" vertical="center"/>
      <protection locked="0"/>
    </xf>
    <xf numFmtId="0" fontId="36" fillId="5" borderId="7" xfId="0" applyFont="1" applyFill="1" applyBorder="1" applyAlignment="1" applyProtection="1">
      <alignment horizontal="center" vertical="center"/>
      <protection locked="0"/>
    </xf>
    <xf numFmtId="166" fontId="36" fillId="5" borderId="37" xfId="2" applyNumberFormat="1" applyFont="1" applyFill="1" applyBorder="1" applyAlignment="1" applyProtection="1">
      <alignment horizontal="center" vertical="center"/>
      <protection locked="0"/>
    </xf>
    <xf numFmtId="0" fontId="38" fillId="3" borderId="2" xfId="0" applyFont="1" applyFill="1" applyBorder="1" applyAlignment="1">
      <alignment horizontal="center" wrapText="1"/>
    </xf>
    <xf numFmtId="10" fontId="38" fillId="3" borderId="2" xfId="2" applyNumberFormat="1" applyFont="1" applyFill="1" applyBorder="1" applyAlignment="1" applyProtection="1">
      <alignment horizontal="center"/>
      <protection locked="0"/>
    </xf>
    <xf numFmtId="166" fontId="38" fillId="3" borderId="33" xfId="2" applyNumberFormat="1" applyFont="1" applyFill="1" applyBorder="1" applyAlignment="1" applyProtection="1">
      <alignment horizontal="center"/>
      <protection locked="0"/>
    </xf>
    <xf numFmtId="166" fontId="36" fillId="0" borderId="6" xfId="2" applyNumberFormat="1" applyFont="1" applyBorder="1" applyAlignment="1" applyProtection="1">
      <alignment horizontal="center" vertical="center"/>
      <protection locked="0"/>
    </xf>
    <xf numFmtId="166" fontId="36" fillId="5" borderId="6" xfId="2" applyNumberFormat="1" applyFont="1" applyFill="1" applyBorder="1" applyAlignment="1" applyProtection="1">
      <alignment horizontal="center" vertical="center"/>
      <protection locked="0"/>
    </xf>
    <xf numFmtId="166" fontId="36" fillId="5" borderId="9" xfId="2" applyNumberFormat="1" applyFont="1" applyFill="1" applyBorder="1" applyAlignment="1" applyProtection="1">
      <alignment horizontal="center" vertical="center"/>
      <protection locked="0"/>
    </xf>
    <xf numFmtId="0" fontId="36" fillId="5" borderId="69" xfId="0" applyFont="1" applyFill="1" applyBorder="1" applyAlignment="1" applyProtection="1">
      <alignment horizontal="center" vertical="center"/>
      <protection locked="0"/>
    </xf>
    <xf numFmtId="166" fontId="38" fillId="3" borderId="2" xfId="2" applyNumberFormat="1" applyFont="1" applyFill="1" applyBorder="1" applyAlignment="1" applyProtection="1">
      <alignment horizontal="center"/>
      <protection locked="0"/>
    </xf>
    <xf numFmtId="0" fontId="51" fillId="0" borderId="0" xfId="0" applyFont="1" applyAlignment="1" applyProtection="1">
      <alignment horizontal="right"/>
      <protection locked="0" hidden="1"/>
    </xf>
    <xf numFmtId="0" fontId="35" fillId="0" borderId="0" xfId="0" applyFont="1" applyProtection="1">
      <protection locked="0" hidden="1"/>
    </xf>
    <xf numFmtId="166" fontId="35" fillId="0" borderId="0" xfId="2" applyNumberFormat="1" applyFont="1"/>
    <xf numFmtId="166" fontId="36" fillId="0" borderId="0" xfId="2" applyNumberFormat="1" applyFont="1"/>
    <xf numFmtId="168" fontId="36" fillId="0" borderId="0" xfId="0" quotePrefix="1" applyNumberFormat="1" applyFont="1" applyAlignment="1">
      <alignment horizontal="center" vertical="center"/>
    </xf>
    <xf numFmtId="1" fontId="36" fillId="0" borderId="13" xfId="0" applyNumberFormat="1" applyFont="1" applyBorder="1" applyAlignment="1">
      <alignment horizontal="center" vertical="center"/>
    </xf>
    <xf numFmtId="169" fontId="36" fillId="0" borderId="34" xfId="0" applyNumberFormat="1" applyFont="1" applyBorder="1" applyAlignment="1" applyProtection="1">
      <alignment horizontal="center" vertical="center"/>
      <protection locked="0"/>
    </xf>
    <xf numFmtId="169" fontId="36" fillId="0" borderId="11" xfId="0" applyNumberFormat="1" applyFont="1" applyBorder="1" applyAlignment="1" applyProtection="1">
      <alignment horizontal="center" vertical="center"/>
      <protection locked="0"/>
    </xf>
    <xf numFmtId="166" fontId="36" fillId="0" borderId="12" xfId="2" applyNumberFormat="1" applyFont="1" applyFill="1" applyBorder="1" applyAlignment="1">
      <alignment horizontal="center" vertical="center"/>
    </xf>
    <xf numFmtId="1" fontId="36" fillId="5" borderId="13" xfId="0" applyNumberFormat="1" applyFont="1" applyFill="1" applyBorder="1" applyAlignment="1">
      <alignment horizontal="center" vertical="center"/>
    </xf>
    <xf numFmtId="169" fontId="36" fillId="5" borderId="34" xfId="0" applyNumberFormat="1" applyFont="1" applyFill="1" applyBorder="1" applyAlignment="1" applyProtection="1">
      <alignment horizontal="center" vertical="center"/>
      <protection locked="0"/>
    </xf>
    <xf numFmtId="169" fontId="36" fillId="5" borderId="11" xfId="0" applyNumberFormat="1" applyFont="1" applyFill="1" applyBorder="1" applyAlignment="1" applyProtection="1">
      <alignment horizontal="center" vertical="center"/>
      <protection locked="0"/>
    </xf>
    <xf numFmtId="166" fontId="36" fillId="5" borderId="12" xfId="2" applyNumberFormat="1" applyFont="1" applyFill="1" applyBorder="1" applyAlignment="1">
      <alignment horizontal="center" vertical="center"/>
    </xf>
    <xf numFmtId="1" fontId="36" fillId="0" borderId="15" xfId="0" applyNumberFormat="1" applyFont="1" applyBorder="1" applyAlignment="1">
      <alignment horizontal="center" vertical="center"/>
    </xf>
    <xf numFmtId="169" fontId="36" fillId="0" borderId="28" xfId="0" applyNumberFormat="1" applyFont="1" applyBorder="1" applyAlignment="1" applyProtection="1">
      <alignment horizontal="center" vertical="center"/>
      <protection locked="0"/>
    </xf>
    <xf numFmtId="169" fontId="36" fillId="0" borderId="8" xfId="0" applyNumberFormat="1" applyFont="1" applyBorder="1" applyAlignment="1" applyProtection="1">
      <alignment horizontal="center" vertical="center"/>
      <protection locked="0"/>
    </xf>
    <xf numFmtId="166" fontId="36" fillId="0" borderId="9" xfId="2" applyNumberFormat="1" applyFont="1" applyFill="1" applyBorder="1" applyAlignment="1">
      <alignment horizontal="center" vertical="center"/>
    </xf>
    <xf numFmtId="0" fontId="35" fillId="0" borderId="0" xfId="0" applyFont="1" applyAlignment="1">
      <alignment horizontal="center"/>
    </xf>
    <xf numFmtId="166" fontId="36" fillId="0" borderId="3" xfId="2" applyNumberFormat="1" applyFont="1" applyFill="1" applyBorder="1" applyAlignment="1">
      <alignment horizontal="center" vertical="center"/>
    </xf>
    <xf numFmtId="166" fontId="36" fillId="0" borderId="17" xfId="2" applyNumberFormat="1" applyFont="1" applyFill="1" applyBorder="1" applyAlignment="1">
      <alignment horizontal="center" vertical="center"/>
    </xf>
    <xf numFmtId="1" fontId="36" fillId="0" borderId="0" xfId="0" applyNumberFormat="1" applyFont="1" applyAlignment="1">
      <alignment horizontal="center" vertical="center"/>
    </xf>
    <xf numFmtId="169" fontId="36" fillId="0" borderId="0" xfId="0" applyNumberFormat="1" applyFont="1" applyAlignment="1">
      <alignment horizontal="center" vertical="center"/>
    </xf>
    <xf numFmtId="166" fontId="36" fillId="0" borderId="0" xfId="2" applyNumberFormat="1" applyFont="1" applyFill="1" applyBorder="1" applyAlignment="1">
      <alignment horizontal="center" vertical="center"/>
    </xf>
    <xf numFmtId="178" fontId="36" fillId="0" borderId="0" xfId="0" applyNumberFormat="1" applyFont="1"/>
    <xf numFmtId="0" fontId="35" fillId="0" borderId="0" xfId="0" applyFont="1"/>
    <xf numFmtId="0" fontId="36" fillId="0" borderId="0" xfId="0" applyFont="1" applyAlignment="1">
      <alignment vertical="top" wrapText="1"/>
    </xf>
    <xf numFmtId="0" fontId="36" fillId="0" borderId="0" xfId="0" quotePrefix="1" applyFont="1"/>
    <xf numFmtId="0" fontId="35" fillId="0" borderId="0" xfId="0" applyFont="1" applyAlignment="1">
      <alignment horizontal="left" vertical="center"/>
    </xf>
    <xf numFmtId="168" fontId="36" fillId="0" borderId="0" xfId="0" applyNumberFormat="1" applyFont="1" applyAlignment="1">
      <alignment horizontal="left" vertical="center"/>
    </xf>
    <xf numFmtId="0" fontId="36" fillId="0" borderId="79" xfId="0" applyFont="1" applyBorder="1"/>
    <xf numFmtId="0" fontId="41" fillId="0" borderId="0" xfId="0" applyFont="1"/>
    <xf numFmtId="168" fontId="41" fillId="0" borderId="0" xfId="0" applyNumberFormat="1" applyFont="1"/>
    <xf numFmtId="0" fontId="34" fillId="7" borderId="31" xfId="0" applyFont="1" applyFill="1" applyBorder="1"/>
    <xf numFmtId="0" fontId="34" fillId="7" borderId="32" xfId="0" applyFont="1" applyFill="1" applyBorder="1"/>
    <xf numFmtId="0" fontId="41" fillId="7" borderId="1" xfId="0" applyFont="1" applyFill="1" applyBorder="1"/>
    <xf numFmtId="0" fontId="41" fillId="7" borderId="82" xfId="0" applyFont="1" applyFill="1" applyBorder="1"/>
    <xf numFmtId="0" fontId="41" fillId="7" borderId="78" xfId="0" applyFont="1" applyFill="1" applyBorder="1"/>
    <xf numFmtId="168" fontId="41" fillId="0" borderId="44" xfId="0" applyNumberFormat="1" applyFont="1" applyBorder="1" applyAlignment="1">
      <alignment horizontal="center" wrapText="1"/>
    </xf>
    <xf numFmtId="0" fontId="41" fillId="0" borderId="47" xfId="0" applyFont="1" applyBorder="1" applyAlignment="1">
      <alignment vertical="center"/>
    </xf>
    <xf numFmtId="0" fontId="41" fillId="0" borderId="35" xfId="0" applyFont="1" applyBorder="1" applyAlignment="1">
      <alignment vertical="center" wrapText="1"/>
    </xf>
    <xf numFmtId="169" fontId="41" fillId="0" borderId="10" xfId="0" applyNumberFormat="1" applyFont="1" applyBorder="1" applyAlignment="1">
      <alignment vertical="center" wrapText="1"/>
    </xf>
    <xf numFmtId="169" fontId="41" fillId="9" borderId="34" xfId="0" applyNumberFormat="1" applyFont="1" applyFill="1" applyBorder="1" applyAlignment="1">
      <alignment vertical="center" wrapText="1"/>
    </xf>
    <xf numFmtId="169" fontId="41" fillId="0" borderId="11" xfId="0" applyNumberFormat="1" applyFont="1" applyBorder="1" applyAlignment="1">
      <alignment vertical="center" wrapText="1"/>
    </xf>
    <xf numFmtId="169" fontId="41" fillId="9" borderId="77" xfId="0" applyNumberFormat="1" applyFont="1" applyFill="1" applyBorder="1" applyAlignment="1">
      <alignment vertical="center" wrapText="1"/>
    </xf>
    <xf numFmtId="169" fontId="41" fillId="0" borderId="75" xfId="0" applyNumberFormat="1" applyFont="1" applyBorder="1" applyAlignment="1">
      <alignment vertical="center" wrapText="1"/>
    </xf>
    <xf numFmtId="0" fontId="41" fillId="0" borderId="0" xfId="0" applyFont="1" applyAlignment="1">
      <alignment horizontal="left"/>
    </xf>
    <xf numFmtId="168" fontId="41" fillId="0" borderId="22" xfId="0" applyNumberFormat="1" applyFont="1" applyBorder="1"/>
    <xf numFmtId="1" fontId="41" fillId="0" borderId="23" xfId="0" applyNumberFormat="1" applyFont="1" applyBorder="1" applyAlignment="1">
      <alignment vertical="center"/>
    </xf>
    <xf numFmtId="1" fontId="41" fillId="0" borderId="36" xfId="0" applyNumberFormat="1" applyFont="1" applyBorder="1" applyAlignment="1">
      <alignment vertical="center"/>
    </xf>
    <xf numFmtId="169" fontId="41" fillId="0" borderId="4" xfId="0" applyNumberFormat="1" applyFont="1" applyBorder="1" applyAlignment="1">
      <alignment vertical="center"/>
    </xf>
    <xf numFmtId="166" fontId="41" fillId="0" borderId="27" xfId="0" applyNumberFormat="1" applyFont="1" applyBorder="1" applyAlignment="1">
      <alignment vertical="center"/>
    </xf>
    <xf numFmtId="169" fontId="41" fillId="0" borderId="5" xfId="0" applyNumberFormat="1" applyFont="1" applyBorder="1" applyAlignment="1">
      <alignment vertical="center"/>
    </xf>
    <xf numFmtId="169" fontId="41" fillId="0" borderId="80" xfId="0" applyNumberFormat="1" applyFont="1" applyBorder="1" applyAlignment="1">
      <alignment vertical="center"/>
    </xf>
    <xf numFmtId="169" fontId="41" fillId="0" borderId="4" xfId="0" applyNumberFormat="1" applyFont="1" applyBorder="1" applyAlignment="1" applyProtection="1">
      <alignment vertical="center"/>
      <protection locked="0"/>
    </xf>
    <xf numFmtId="169" fontId="41" fillId="0" borderId="5" xfId="0" applyNumberFormat="1" applyFont="1" applyBorder="1" applyAlignment="1" applyProtection="1">
      <alignment vertical="center"/>
      <protection locked="0"/>
    </xf>
    <xf numFmtId="169" fontId="41" fillId="0" borderId="77" xfId="0" applyNumberFormat="1" applyFont="1" applyBorder="1" applyAlignment="1" applyProtection="1">
      <alignment vertical="center"/>
      <protection locked="0"/>
    </xf>
    <xf numFmtId="168" fontId="41" fillId="0" borderId="24" xfId="0" applyNumberFormat="1" applyFont="1" applyBorder="1"/>
    <xf numFmtId="1" fontId="41" fillId="0" borderId="25" xfId="0" applyNumberFormat="1" applyFont="1" applyBorder="1" applyAlignment="1">
      <alignment vertical="center"/>
    </xf>
    <xf numFmtId="1" fontId="41" fillId="0" borderId="37" xfId="0" applyNumberFormat="1" applyFont="1" applyBorder="1" applyAlignment="1">
      <alignment vertical="center"/>
    </xf>
    <xf numFmtId="169" fontId="41" fillId="0" borderId="7" xfId="0" applyNumberFormat="1" applyFont="1" applyBorder="1" applyAlignment="1" applyProtection="1">
      <alignment vertical="center"/>
      <protection locked="0"/>
    </xf>
    <xf numFmtId="169" fontId="41" fillId="0" borderId="8" xfId="0" applyNumberFormat="1" applyFont="1" applyBorder="1" applyAlignment="1" applyProtection="1">
      <alignment vertical="center"/>
      <protection locked="0"/>
    </xf>
    <xf numFmtId="169" fontId="41" fillId="0" borderId="60" xfId="0" applyNumberFormat="1" applyFont="1" applyBorder="1" applyAlignment="1" applyProtection="1">
      <alignment vertical="center"/>
      <protection locked="0"/>
    </xf>
    <xf numFmtId="168" fontId="41" fillId="0" borderId="44" xfId="0" applyNumberFormat="1" applyFont="1" applyBorder="1"/>
    <xf numFmtId="0" fontId="36" fillId="0" borderId="47" xfId="0" applyFont="1" applyBorder="1" applyAlignment="1">
      <alignment vertical="center"/>
    </xf>
    <xf numFmtId="0" fontId="36" fillId="0" borderId="35" xfId="0" applyFont="1" applyBorder="1" applyAlignment="1">
      <alignment vertical="center"/>
    </xf>
    <xf numFmtId="169" fontId="41" fillId="0" borderId="10" xfId="0" applyNumberFormat="1" applyFont="1" applyBorder="1" applyAlignment="1" applyProtection="1">
      <alignment vertical="center"/>
      <protection locked="0"/>
    </xf>
    <xf numFmtId="169" fontId="41" fillId="9" borderId="34" xfId="0" applyNumberFormat="1" applyFont="1" applyFill="1" applyBorder="1" applyAlignment="1" applyProtection="1">
      <alignment vertical="center"/>
      <protection locked="0"/>
    </xf>
    <xf numFmtId="169" fontId="41" fillId="0" borderId="11" xfId="0" applyNumberFormat="1" applyFont="1" applyBorder="1" applyAlignment="1" applyProtection="1">
      <alignment vertical="center"/>
      <protection locked="0"/>
    </xf>
    <xf numFmtId="169" fontId="41" fillId="9" borderId="77" xfId="0" applyNumberFormat="1" applyFont="1" applyFill="1" applyBorder="1" applyAlignment="1" applyProtection="1">
      <alignment vertical="center"/>
      <protection locked="0"/>
    </xf>
    <xf numFmtId="0" fontId="36" fillId="0" borderId="68" xfId="0" applyFont="1" applyBorder="1" applyAlignment="1">
      <alignment vertical="center"/>
    </xf>
    <xf numFmtId="0" fontId="36" fillId="0" borderId="39" xfId="0" applyFont="1" applyBorder="1" applyAlignment="1">
      <alignment vertical="center"/>
    </xf>
    <xf numFmtId="166" fontId="41" fillId="0" borderId="28" xfId="0" applyNumberFormat="1" applyFont="1" applyBorder="1" applyAlignment="1" applyProtection="1">
      <alignment vertical="center"/>
      <protection locked="0"/>
    </xf>
    <xf numFmtId="169" fontId="41" fillId="0" borderId="74" xfId="0" applyNumberFormat="1" applyFont="1" applyBorder="1" applyAlignment="1" applyProtection="1">
      <alignment vertical="center"/>
      <protection locked="0"/>
    </xf>
    <xf numFmtId="0" fontId="41" fillId="7" borderId="32" xfId="0" applyFont="1" applyFill="1" applyBorder="1" applyAlignment="1">
      <alignment vertical="center"/>
    </xf>
    <xf numFmtId="0" fontId="41" fillId="7" borderId="78" xfId="0" applyFont="1" applyFill="1" applyBorder="1" applyAlignment="1">
      <alignment vertical="center"/>
    </xf>
    <xf numFmtId="0" fontId="41" fillId="0" borderId="47" xfId="0" applyFont="1" applyBorder="1"/>
    <xf numFmtId="0" fontId="41" fillId="0" borderId="35" xfId="0" applyFont="1" applyBorder="1"/>
    <xf numFmtId="169" fontId="41" fillId="0" borderId="10" xfId="0" applyNumberFormat="1" applyFont="1" applyBorder="1" applyAlignment="1">
      <alignment vertical="center"/>
    </xf>
    <xf numFmtId="169" fontId="41" fillId="9" borderId="34" xfId="0" applyNumberFormat="1" applyFont="1" applyFill="1" applyBorder="1" applyAlignment="1">
      <alignment vertical="center"/>
    </xf>
    <xf numFmtId="169" fontId="41" fillId="0" borderId="11" xfId="0" applyNumberFormat="1" applyFont="1" applyBorder="1" applyAlignment="1">
      <alignment vertical="center"/>
    </xf>
    <xf numFmtId="169" fontId="41" fillId="9" borderId="77" xfId="0" applyNumberFormat="1" applyFont="1" applyFill="1" applyBorder="1" applyAlignment="1">
      <alignment vertical="center"/>
    </xf>
    <xf numFmtId="169" fontId="41" fillId="0" borderId="77" xfId="0" applyNumberFormat="1" applyFont="1" applyBorder="1" applyAlignment="1">
      <alignment vertical="center"/>
    </xf>
    <xf numFmtId="169" fontId="41" fillId="0" borderId="38" xfId="0" applyNumberFormat="1" applyFont="1" applyBorder="1" applyAlignment="1">
      <alignment vertical="center"/>
    </xf>
    <xf numFmtId="169" fontId="41" fillId="0" borderId="38" xfId="0" applyNumberFormat="1" applyFont="1" applyBorder="1" applyAlignment="1" applyProtection="1">
      <alignment vertical="center"/>
      <protection locked="0"/>
    </xf>
    <xf numFmtId="0" fontId="41" fillId="0" borderId="23" xfId="0" applyFont="1" applyBorder="1" applyAlignment="1">
      <alignment vertical="center"/>
    </xf>
    <xf numFmtId="0" fontId="41" fillId="0" borderId="36" xfId="0" applyFont="1" applyBorder="1" applyAlignment="1">
      <alignment vertical="center" wrapText="1"/>
    </xf>
    <xf numFmtId="169" fontId="41" fillId="0" borderId="4" xfId="0" applyNumberFormat="1" applyFont="1" applyBorder="1" applyAlignment="1" applyProtection="1">
      <alignment vertical="center" wrapText="1"/>
      <protection locked="0"/>
    </xf>
    <xf numFmtId="169" fontId="41" fillId="9" borderId="27" xfId="0" applyNumberFormat="1" applyFont="1" applyFill="1" applyBorder="1" applyAlignment="1" applyProtection="1">
      <alignment vertical="center" wrapText="1"/>
      <protection locked="0"/>
    </xf>
    <xf numFmtId="169" fontId="41" fillId="0" borderId="5" xfId="0" applyNumberFormat="1" applyFont="1" applyBorder="1" applyAlignment="1" applyProtection="1">
      <alignment vertical="center" wrapText="1"/>
      <protection locked="0"/>
    </xf>
    <xf numFmtId="169" fontId="41" fillId="9" borderId="38" xfId="0" applyNumberFormat="1" applyFont="1" applyFill="1" applyBorder="1" applyAlignment="1" applyProtection="1">
      <alignment vertical="center" wrapText="1"/>
      <protection locked="0"/>
    </xf>
    <xf numFmtId="169" fontId="36" fillId="0" borderId="38" xfId="0" applyNumberFormat="1" applyFont="1" applyBorder="1" applyAlignment="1" applyProtection="1">
      <alignment vertical="center"/>
      <protection locked="0"/>
    </xf>
    <xf numFmtId="168" fontId="41" fillId="0" borderId="23" xfId="0" applyNumberFormat="1" applyFont="1" applyBorder="1"/>
    <xf numFmtId="169" fontId="41" fillId="9" borderId="27" xfId="0" applyNumberFormat="1" applyFont="1" applyFill="1" applyBorder="1" applyAlignment="1" applyProtection="1">
      <alignment vertical="center"/>
      <protection locked="0"/>
    </xf>
    <xf numFmtId="169" fontId="41" fillId="9" borderId="38" xfId="0" applyNumberFormat="1" applyFont="1" applyFill="1" applyBorder="1" applyAlignment="1" applyProtection="1">
      <alignment vertical="center"/>
      <protection locked="0"/>
    </xf>
    <xf numFmtId="0" fontId="41" fillId="0" borderId="23" xfId="0" applyFont="1" applyBorder="1"/>
    <xf numFmtId="0" fontId="41" fillId="0" borderId="36" xfId="0" applyFont="1" applyBorder="1"/>
    <xf numFmtId="169" fontId="36" fillId="0" borderId="5" xfId="0" applyNumberFormat="1" applyFont="1" applyBorder="1" applyAlignment="1" applyProtection="1">
      <alignment vertical="center"/>
      <protection locked="0"/>
    </xf>
    <xf numFmtId="166" fontId="41" fillId="0" borderId="27" xfId="0" applyNumberFormat="1" applyFont="1" applyBorder="1" applyAlignment="1" applyProtection="1">
      <alignment vertical="center"/>
      <protection locked="0"/>
    </xf>
    <xf numFmtId="0" fontId="36" fillId="0" borderId="23" xfId="0" applyFont="1" applyBorder="1" applyAlignment="1">
      <alignment vertical="top"/>
    </xf>
    <xf numFmtId="1" fontId="41" fillId="0" borderId="36" xfId="0" applyNumberFormat="1" applyFont="1" applyBorder="1" applyAlignment="1">
      <alignment vertical="top"/>
    </xf>
    <xf numFmtId="0" fontId="41" fillId="0" borderId="36" xfId="0" applyFont="1" applyBorder="1" applyAlignment="1">
      <alignment vertical="top" wrapText="1"/>
    </xf>
    <xf numFmtId="0" fontId="36" fillId="0" borderId="22" xfId="0" applyFont="1" applyBorder="1"/>
    <xf numFmtId="0" fontId="36" fillId="0" borderId="36" xfId="0" applyFont="1" applyBorder="1" applyAlignment="1">
      <alignment vertical="top" wrapText="1"/>
    </xf>
    <xf numFmtId="169" fontId="36" fillId="0" borderId="4" xfId="0" applyNumberFormat="1" applyFont="1" applyBorder="1" applyAlignment="1" applyProtection="1">
      <alignment vertical="center"/>
      <protection locked="0"/>
    </xf>
    <xf numFmtId="0" fontId="36" fillId="0" borderId="36" xfId="0" applyFont="1" applyBorder="1" applyAlignment="1">
      <alignment vertical="top"/>
    </xf>
    <xf numFmtId="169" fontId="36" fillId="0" borderId="4" xfId="0" applyNumberFormat="1" applyFont="1" applyBorder="1" applyAlignment="1">
      <alignment vertical="center"/>
    </xf>
    <xf numFmtId="169" fontId="36" fillId="0" borderId="5" xfId="0" applyNumberFormat="1" applyFont="1" applyBorder="1" applyAlignment="1">
      <alignment vertical="center"/>
    </xf>
    <xf numFmtId="169" fontId="36" fillId="0" borderId="38" xfId="0" applyNumberFormat="1" applyFont="1" applyBorder="1" applyAlignment="1">
      <alignment vertical="center"/>
    </xf>
    <xf numFmtId="0" fontId="36" fillId="0" borderId="24" xfId="0" applyFont="1" applyBorder="1"/>
    <xf numFmtId="0" fontId="36" fillId="0" borderId="25" xfId="0" applyFont="1" applyBorder="1" applyAlignment="1">
      <alignment vertical="top"/>
    </xf>
    <xf numFmtId="0" fontId="36" fillId="0" borderId="37" xfId="0" applyFont="1" applyBorder="1" applyAlignment="1">
      <alignment vertical="top"/>
    </xf>
    <xf numFmtId="169" fontId="36" fillId="0" borderId="7" xfId="0" applyNumberFormat="1" applyFont="1" applyBorder="1" applyAlignment="1">
      <alignment vertical="center"/>
    </xf>
    <xf numFmtId="169" fontId="36" fillId="0" borderId="8" xfId="0" applyNumberFormat="1" applyFont="1" applyBorder="1" applyAlignment="1">
      <alignment vertical="center"/>
    </xf>
    <xf numFmtId="169" fontId="36" fillId="0" borderId="60" xfId="0" applyNumberFormat="1" applyFont="1" applyBorder="1" applyAlignment="1">
      <alignment vertical="center"/>
    </xf>
    <xf numFmtId="168" fontId="36" fillId="0" borderId="44" xfId="0" applyNumberFormat="1" applyFont="1" applyBorder="1"/>
    <xf numFmtId="169" fontId="36" fillId="0" borderId="10" xfId="0" applyNumberFormat="1" applyFont="1" applyBorder="1" applyAlignment="1" applyProtection="1">
      <alignment vertical="center"/>
      <protection locked="0"/>
    </xf>
    <xf numFmtId="169" fontId="36" fillId="9" borderId="34" xfId="0" applyNumberFormat="1" applyFont="1" applyFill="1" applyBorder="1" applyAlignment="1" applyProtection="1">
      <alignment vertical="center"/>
      <protection locked="0"/>
    </xf>
    <xf numFmtId="169" fontId="36" fillId="0" borderId="11" xfId="0" applyNumberFormat="1" applyFont="1" applyBorder="1" applyAlignment="1" applyProtection="1">
      <alignment vertical="center"/>
      <protection locked="0"/>
    </xf>
    <xf numFmtId="169" fontId="36" fillId="9" borderId="77" xfId="0" applyNumberFormat="1" applyFont="1" applyFill="1" applyBorder="1" applyAlignment="1" applyProtection="1">
      <alignment vertical="center"/>
      <protection locked="0"/>
    </xf>
    <xf numFmtId="169" fontId="36" fillId="0" borderId="77" xfId="0" applyNumberFormat="1" applyFont="1" applyBorder="1" applyAlignment="1" applyProtection="1">
      <alignment vertical="center"/>
      <protection locked="0"/>
    </xf>
    <xf numFmtId="168" fontId="36" fillId="0" borderId="59" xfId="0" applyNumberFormat="1" applyFont="1" applyBorder="1"/>
    <xf numFmtId="169" fontId="36" fillId="0" borderId="69" xfId="0" applyNumberFormat="1" applyFont="1" applyBorder="1" applyAlignment="1" applyProtection="1">
      <alignment vertical="center"/>
      <protection locked="0"/>
    </xf>
    <xf numFmtId="169" fontId="36" fillId="0" borderId="70" xfId="0" applyNumberFormat="1" applyFont="1" applyBorder="1" applyAlignment="1" applyProtection="1">
      <alignment vertical="center"/>
      <protection locked="0"/>
    </xf>
    <xf numFmtId="169" fontId="36" fillId="0" borderId="74" xfId="0" applyNumberFormat="1" applyFont="1" applyBorder="1" applyAlignment="1" applyProtection="1">
      <alignment vertical="center"/>
      <protection locked="0"/>
    </xf>
    <xf numFmtId="168" fontId="36" fillId="0" borderId="24" xfId="0" applyNumberFormat="1" applyFont="1" applyBorder="1"/>
    <xf numFmtId="0" fontId="36" fillId="0" borderId="25" xfId="0" applyFont="1" applyBorder="1" applyAlignment="1">
      <alignment vertical="center"/>
    </xf>
    <xf numFmtId="0" fontId="36" fillId="0" borderId="37" xfId="0" applyFont="1" applyBorder="1" applyAlignment="1">
      <alignment vertical="center"/>
    </xf>
    <xf numFmtId="169" fontId="36" fillId="0" borderId="7" xfId="0" applyNumberFormat="1" applyFont="1" applyBorder="1" applyAlignment="1" applyProtection="1">
      <alignment vertical="center"/>
      <protection locked="0"/>
    </xf>
    <xf numFmtId="169" fontId="36" fillId="0" borderId="8" xfId="0" applyNumberFormat="1" applyFont="1" applyBorder="1" applyAlignment="1" applyProtection="1">
      <alignment vertical="center"/>
      <protection locked="0"/>
    </xf>
    <xf numFmtId="169" fontId="36" fillId="0" borderId="0" xfId="0" applyNumberFormat="1" applyFont="1" applyAlignment="1" applyProtection="1">
      <alignment horizontal="center" vertical="center"/>
      <protection locked="0"/>
    </xf>
    <xf numFmtId="169" fontId="36" fillId="0" borderId="81" xfId="0" applyNumberFormat="1" applyFont="1" applyBorder="1" applyAlignment="1" applyProtection="1">
      <alignment horizontal="center" vertical="center"/>
      <protection locked="0"/>
    </xf>
    <xf numFmtId="0" fontId="36" fillId="0" borderId="81" xfId="0" applyFont="1" applyBorder="1"/>
    <xf numFmtId="168" fontId="36" fillId="0" borderId="0" xfId="0" applyNumberFormat="1" applyFont="1" applyAlignment="1">
      <alignment horizontal="right"/>
    </xf>
    <xf numFmtId="1" fontId="41" fillId="0" borderId="36" xfId="0" applyNumberFormat="1" applyFont="1" applyBorder="1" applyAlignment="1">
      <alignment vertical="top" wrapText="1"/>
    </xf>
    <xf numFmtId="1" fontId="41" fillId="0" borderId="36" xfId="0" applyNumberFormat="1" applyFont="1" applyBorder="1" applyAlignment="1">
      <alignment vertical="center" wrapText="1"/>
    </xf>
    <xf numFmtId="168" fontId="41" fillId="0" borderId="23" xfId="0" applyNumberFormat="1" applyFont="1" applyBorder="1" applyAlignment="1">
      <alignment vertical="top"/>
    </xf>
    <xf numFmtId="0" fontId="36" fillId="0" borderId="0" xfId="0" applyFont="1" applyAlignment="1">
      <alignment vertical="center"/>
    </xf>
    <xf numFmtId="168" fontId="36" fillId="0" borderId="1" xfId="0" quotePrefix="1" applyNumberFormat="1" applyFont="1" applyBorder="1" applyAlignment="1">
      <alignment horizontal="center" vertical="center"/>
    </xf>
    <xf numFmtId="167" fontId="36" fillId="0" borderId="4" xfId="0" applyNumberFormat="1" applyFont="1" applyBorder="1" applyAlignment="1" applyProtection="1">
      <alignment horizontal="center" vertical="center"/>
      <protection hidden="1"/>
    </xf>
    <xf numFmtId="169" fontId="36" fillId="0" borderId="10" xfId="0" applyNumberFormat="1" applyFont="1" applyBorder="1" applyAlignment="1" applyProtection="1">
      <alignment horizontal="center" vertical="center"/>
      <protection locked="0"/>
    </xf>
    <xf numFmtId="165" fontId="36" fillId="0" borderId="52" xfId="0" applyNumberFormat="1" applyFont="1" applyBorder="1" applyAlignment="1">
      <alignment horizontal="center" vertical="center"/>
    </xf>
    <xf numFmtId="165" fontId="36" fillId="0" borderId="11" xfId="0" applyNumberFormat="1" applyFont="1" applyBorder="1" applyAlignment="1">
      <alignment horizontal="center" vertical="center"/>
    </xf>
    <xf numFmtId="169" fontId="36" fillId="0" borderId="12" xfId="0" applyNumberFormat="1" applyFont="1" applyBorder="1" applyAlignment="1">
      <alignment horizontal="center" vertical="center"/>
    </xf>
    <xf numFmtId="164" fontId="36" fillId="0" borderId="11" xfId="2" applyNumberFormat="1" applyFont="1" applyFill="1" applyBorder="1" applyAlignment="1">
      <alignment horizontal="center" vertical="center"/>
    </xf>
    <xf numFmtId="169" fontId="36" fillId="0" borderId="12" xfId="2" applyNumberFormat="1" applyFont="1" applyFill="1" applyBorder="1" applyAlignment="1">
      <alignment horizontal="center" vertical="center"/>
    </xf>
    <xf numFmtId="166" fontId="36" fillId="0" borderId="11" xfId="2" applyNumberFormat="1" applyFont="1" applyFill="1" applyBorder="1" applyAlignment="1">
      <alignment horizontal="center" vertical="center"/>
    </xf>
    <xf numFmtId="166" fontId="36" fillId="0" borderId="12" xfId="2" applyNumberFormat="1" applyFont="1" applyFill="1" applyBorder="1" applyAlignment="1" applyProtection="1">
      <alignment horizontal="center" vertical="center"/>
      <protection locked="0"/>
    </xf>
    <xf numFmtId="167" fontId="36" fillId="5" borderId="4" xfId="0" applyNumberFormat="1" applyFont="1" applyFill="1" applyBorder="1" applyAlignment="1" applyProtection="1">
      <alignment horizontal="center" vertical="center"/>
      <protection hidden="1"/>
    </xf>
    <xf numFmtId="169" fontId="36" fillId="5" borderId="4" xfId="0" applyNumberFormat="1" applyFont="1" applyFill="1" applyBorder="1" applyAlignment="1" applyProtection="1">
      <alignment horizontal="center" vertical="center"/>
      <protection locked="0"/>
    </xf>
    <xf numFmtId="165" fontId="36" fillId="5" borderId="5" xfId="0" applyNumberFormat="1" applyFont="1" applyFill="1" applyBorder="1" applyAlignment="1">
      <alignment horizontal="center" vertical="center"/>
    </xf>
    <xf numFmtId="165" fontId="36" fillId="5" borderId="11" xfId="0" applyNumberFormat="1" applyFont="1" applyFill="1" applyBorder="1" applyAlignment="1">
      <alignment horizontal="center" vertical="center"/>
    </xf>
    <xf numFmtId="169" fontId="36" fillId="5" borderId="6" xfId="0" applyNumberFormat="1" applyFont="1" applyFill="1" applyBorder="1" applyAlignment="1">
      <alignment horizontal="center" vertical="center"/>
    </xf>
    <xf numFmtId="164" fontId="36" fillId="5" borderId="11" xfId="2" applyNumberFormat="1" applyFont="1" applyFill="1" applyBorder="1" applyAlignment="1">
      <alignment horizontal="center" vertical="center"/>
    </xf>
    <xf numFmtId="169" fontId="36" fillId="5" borderId="6" xfId="2" applyNumberFormat="1" applyFont="1" applyFill="1" applyBorder="1" applyAlignment="1">
      <alignment horizontal="center" vertical="center"/>
    </xf>
    <xf numFmtId="166" fontId="36" fillId="5" borderId="11" xfId="2" applyNumberFormat="1" applyFont="1" applyFill="1" applyBorder="1" applyAlignment="1">
      <alignment horizontal="center" vertical="center"/>
    </xf>
    <xf numFmtId="169" fontId="36" fillId="0" borderId="4" xfId="0" applyNumberFormat="1" applyFont="1" applyBorder="1" applyAlignment="1" applyProtection="1">
      <alignment horizontal="center" vertical="center"/>
      <protection locked="0"/>
    </xf>
    <xf numFmtId="165" fontId="36" fillId="0" borderId="5" xfId="0" applyNumberFormat="1" applyFont="1" applyBorder="1" applyAlignment="1">
      <alignment horizontal="center" vertical="center"/>
    </xf>
    <xf numFmtId="169" fontId="36" fillId="0" borderId="6" xfId="0" applyNumberFormat="1" applyFont="1" applyBorder="1" applyAlignment="1">
      <alignment horizontal="center" vertical="center"/>
    </xf>
    <xf numFmtId="169" fontId="36" fillId="0" borderId="6" xfId="2" applyNumberFormat="1" applyFont="1" applyFill="1" applyBorder="1" applyAlignment="1">
      <alignment horizontal="center" vertical="center"/>
    </xf>
    <xf numFmtId="166" fontId="36" fillId="0" borderId="6" xfId="2" applyNumberFormat="1" applyFont="1" applyFill="1" applyBorder="1" applyAlignment="1" applyProtection="1">
      <alignment horizontal="center" vertical="center"/>
      <protection locked="0"/>
    </xf>
    <xf numFmtId="167" fontId="36" fillId="0" borderId="7" xfId="0" applyNumberFormat="1" applyFont="1" applyBorder="1" applyAlignment="1" applyProtection="1">
      <alignment horizontal="center" vertical="center"/>
      <protection hidden="1"/>
    </xf>
    <xf numFmtId="169" fontId="36" fillId="0" borderId="7" xfId="0" applyNumberFormat="1" applyFont="1" applyBorder="1" applyAlignment="1" applyProtection="1">
      <alignment horizontal="center" vertical="center"/>
      <protection locked="0"/>
    </xf>
    <xf numFmtId="165" fontId="36" fillId="0" borderId="8" xfId="0" applyNumberFormat="1" applyFont="1" applyBorder="1" applyAlignment="1">
      <alignment horizontal="center" vertical="center"/>
    </xf>
    <xf numFmtId="169" fontId="36" fillId="0" borderId="9" xfId="0" applyNumberFormat="1" applyFont="1" applyBorder="1" applyAlignment="1">
      <alignment horizontal="center" vertical="center"/>
    </xf>
    <xf numFmtId="164" fontId="36" fillId="0" borderId="8" xfId="2" applyNumberFormat="1" applyFont="1" applyFill="1" applyBorder="1" applyAlignment="1">
      <alignment horizontal="center" vertical="center"/>
    </xf>
    <xf numFmtId="169" fontId="36" fillId="0" borderId="9" xfId="2" applyNumberFormat="1" applyFont="1" applyFill="1" applyBorder="1" applyAlignment="1">
      <alignment horizontal="center" vertical="center"/>
    </xf>
    <xf numFmtId="166" fontId="36" fillId="0" borderId="7" xfId="2" applyNumberFormat="1" applyFont="1" applyFill="1" applyBorder="1" applyAlignment="1">
      <alignment horizontal="center" vertical="center"/>
    </xf>
    <xf numFmtId="166" fontId="36" fillId="0" borderId="9" xfId="2" applyNumberFormat="1" applyFont="1" applyFill="1" applyBorder="1" applyAlignment="1" applyProtection="1">
      <alignment horizontal="center" vertical="center"/>
      <protection locked="0"/>
    </xf>
    <xf numFmtId="0" fontId="36" fillId="0" borderId="18" xfId="0" applyFont="1" applyBorder="1" applyAlignment="1">
      <alignment horizontal="center" vertical="center"/>
    </xf>
    <xf numFmtId="169" fontId="36" fillId="0" borderId="18" xfId="0" applyNumberFormat="1" applyFont="1" applyBorder="1" applyAlignment="1">
      <alignment horizontal="center" vertical="center"/>
    </xf>
    <xf numFmtId="38" fontId="36" fillId="2" borderId="16" xfId="0" applyNumberFormat="1" applyFont="1" applyFill="1" applyBorder="1" applyAlignment="1">
      <alignment horizontal="center" vertical="center"/>
    </xf>
    <xf numFmtId="169" fontId="36" fillId="0" borderId="17" xfId="0" applyNumberFormat="1" applyFont="1" applyBorder="1" applyAlignment="1">
      <alignment horizontal="center" vertical="center"/>
    </xf>
    <xf numFmtId="166" fontId="36" fillId="0" borderId="17" xfId="0" applyNumberFormat="1" applyFont="1" applyBorder="1" applyAlignment="1">
      <alignment horizontal="center" vertical="center"/>
    </xf>
    <xf numFmtId="38" fontId="36" fillId="0" borderId="0" xfId="0" applyNumberFormat="1" applyFont="1" applyAlignment="1">
      <alignment vertical="center"/>
    </xf>
    <xf numFmtId="166" fontId="36" fillId="0" borderId="0" xfId="2" applyNumberFormat="1" applyFont="1" applyAlignment="1">
      <alignment vertical="center"/>
    </xf>
    <xf numFmtId="166" fontId="48" fillId="0" borderId="0" xfId="0" applyNumberFormat="1" applyFont="1" applyAlignment="1" applyProtection="1">
      <alignment horizontal="right" vertical="center"/>
      <protection hidden="1"/>
    </xf>
    <xf numFmtId="166" fontId="36" fillId="0" borderId="0" xfId="0" applyNumberFormat="1" applyFont="1" applyAlignment="1">
      <alignment horizontal="right" vertical="center"/>
    </xf>
    <xf numFmtId="168" fontId="36" fillId="0" borderId="0" xfId="0" applyNumberFormat="1" applyFont="1" applyAlignment="1">
      <alignment vertical="center"/>
    </xf>
    <xf numFmtId="166" fontId="36" fillId="5" borderId="3" xfId="2" applyNumberFormat="1" applyFont="1" applyFill="1" applyBorder="1" applyAlignment="1">
      <alignment horizontal="center" vertical="center"/>
    </xf>
    <xf numFmtId="0" fontId="35" fillId="0" borderId="22" xfId="0" applyFont="1" applyBorder="1" applyAlignment="1">
      <alignment vertical="center"/>
    </xf>
    <xf numFmtId="0" fontId="36" fillId="0" borderId="23" xfId="0" applyFont="1" applyBorder="1" applyAlignment="1">
      <alignment vertical="center"/>
    </xf>
    <xf numFmtId="166" fontId="36" fillId="0" borderId="6" xfId="2" applyNumberFormat="1" applyFont="1" applyFill="1" applyBorder="1" applyAlignment="1">
      <alignment horizontal="center" vertical="center"/>
    </xf>
    <xf numFmtId="0" fontId="35" fillId="5" borderId="22" xfId="0" applyFont="1" applyFill="1" applyBorder="1" applyAlignment="1">
      <alignment vertical="center"/>
    </xf>
    <xf numFmtId="0" fontId="36" fillId="5" borderId="23" xfId="0" applyFont="1" applyFill="1" applyBorder="1" applyAlignment="1">
      <alignment vertical="center"/>
    </xf>
    <xf numFmtId="166" fontId="36" fillId="5" borderId="6" xfId="2" applyNumberFormat="1" applyFont="1" applyFill="1" applyBorder="1" applyAlignment="1">
      <alignment horizontal="center" vertical="center"/>
    </xf>
    <xf numFmtId="166" fontId="35" fillId="5" borderId="9" xfId="2" applyNumberFormat="1" applyFont="1" applyFill="1" applyBorder="1" applyAlignment="1">
      <alignment horizontal="center" vertical="center"/>
    </xf>
    <xf numFmtId="0" fontId="36" fillId="0" borderId="19" xfId="0" applyFont="1" applyBorder="1" applyAlignment="1">
      <alignment vertical="center"/>
    </xf>
    <xf numFmtId="0" fontId="36" fillId="0" borderId="19" xfId="0" applyFont="1" applyBorder="1" applyAlignment="1">
      <alignment horizontal="center" vertical="center"/>
    </xf>
    <xf numFmtId="0" fontId="38" fillId="3" borderId="29" xfId="0" applyFont="1" applyFill="1" applyBorder="1" applyAlignment="1">
      <alignment vertical="center"/>
    </xf>
    <xf numFmtId="0" fontId="39" fillId="3" borderId="30" xfId="0" applyFont="1" applyFill="1" applyBorder="1" applyAlignment="1">
      <alignment vertical="center"/>
    </xf>
    <xf numFmtId="0" fontId="39" fillId="3" borderId="61" xfId="0" applyFont="1" applyFill="1" applyBorder="1" applyAlignment="1">
      <alignment vertical="center"/>
    </xf>
    <xf numFmtId="166" fontId="38" fillId="3" borderId="62" xfId="2" applyNumberFormat="1" applyFont="1" applyFill="1" applyBorder="1" applyAlignment="1" applyProtection="1">
      <alignment horizontal="center" vertical="center"/>
      <protection locked="0"/>
    </xf>
    <xf numFmtId="168" fontId="36" fillId="0" borderId="0" xfId="0" applyNumberFormat="1" applyFont="1" applyAlignment="1">
      <alignment horizontal="right" vertical="center"/>
    </xf>
    <xf numFmtId="0" fontId="36" fillId="0" borderId="0" xfId="0" quotePrefix="1" applyFont="1" applyAlignment="1">
      <alignment vertical="center"/>
    </xf>
    <xf numFmtId="0" fontId="35" fillId="5" borderId="21" xfId="0" applyFont="1" applyFill="1" applyBorder="1" applyAlignment="1">
      <alignment horizontal="left" vertical="center" wrapText="1"/>
    </xf>
    <xf numFmtId="0" fontId="35" fillId="5" borderId="23" xfId="0" applyFont="1" applyFill="1" applyBorder="1" applyAlignment="1">
      <alignment horizontal="left" vertical="top" wrapText="1"/>
    </xf>
    <xf numFmtId="0" fontId="35" fillId="0" borderId="23" xfId="0" applyFont="1" applyBorder="1" applyAlignment="1">
      <alignment horizontal="left" vertical="center" wrapText="1"/>
    </xf>
    <xf numFmtId="0" fontId="35" fillId="5" borderId="25" xfId="0" applyFont="1" applyFill="1" applyBorder="1" applyAlignment="1">
      <alignment horizontal="left" vertical="center" wrapText="1"/>
    </xf>
    <xf numFmtId="0" fontId="35" fillId="5" borderId="20" xfId="0" applyFont="1" applyFill="1" applyBorder="1" applyAlignment="1">
      <alignment horizontal="left" vertical="center"/>
    </xf>
    <xf numFmtId="0" fontId="35" fillId="5" borderId="22" xfId="0" applyFont="1" applyFill="1" applyBorder="1" applyAlignment="1">
      <alignment horizontal="left" vertical="top"/>
    </xf>
    <xf numFmtId="0" fontId="35" fillId="0" borderId="22" xfId="0" applyFont="1" applyBorder="1" applyAlignment="1">
      <alignment horizontal="left" vertical="center"/>
    </xf>
    <xf numFmtId="0" fontId="35" fillId="5" borderId="24" xfId="0" applyFont="1" applyFill="1" applyBorder="1" applyAlignment="1">
      <alignment horizontal="left" vertical="center"/>
    </xf>
    <xf numFmtId="0" fontId="39" fillId="3" borderId="87" xfId="0" applyFont="1" applyFill="1" applyBorder="1" applyAlignment="1">
      <alignment vertical="center"/>
    </xf>
    <xf numFmtId="0" fontId="36" fillId="0" borderId="86" xfId="0" applyFont="1" applyBorder="1" applyAlignment="1">
      <alignment vertical="center"/>
    </xf>
    <xf numFmtId="168" fontId="36" fillId="0" borderId="0" xfId="0" applyNumberFormat="1" applyFont="1" applyAlignment="1">
      <alignment horizontal="center"/>
    </xf>
    <xf numFmtId="0" fontId="36" fillId="7" borderId="41" xfId="0" applyFont="1" applyFill="1" applyBorder="1" applyAlignment="1">
      <alignment horizontal="center"/>
    </xf>
    <xf numFmtId="166" fontId="36" fillId="7" borderId="42" xfId="2" applyNumberFormat="1" applyFont="1" applyFill="1" applyBorder="1" applyAlignment="1">
      <alignment horizontal="center"/>
    </xf>
    <xf numFmtId="168" fontId="36" fillId="0" borderId="0" xfId="0" applyNumberFormat="1" applyFont="1" applyAlignment="1">
      <alignment horizontal="left"/>
    </xf>
    <xf numFmtId="167" fontId="36" fillId="0" borderId="10" xfId="0" applyNumberFormat="1" applyFont="1" applyBorder="1" applyAlignment="1" applyProtection="1">
      <alignment horizontal="center"/>
      <protection locked="0"/>
    </xf>
    <xf numFmtId="166" fontId="36" fillId="0" borderId="12" xfId="2" applyNumberFormat="1" applyFont="1" applyBorder="1" applyAlignment="1" applyProtection="1">
      <alignment horizontal="center"/>
      <protection locked="0"/>
    </xf>
    <xf numFmtId="167" fontId="36" fillId="0" borderId="44" xfId="0" applyNumberFormat="1" applyFont="1" applyBorder="1" applyAlignment="1">
      <alignment horizontal="center" vertical="center"/>
    </xf>
    <xf numFmtId="169" fontId="36" fillId="0" borderId="10" xfId="0" applyNumberFormat="1" applyFont="1" applyBorder="1" applyAlignment="1">
      <alignment horizontal="center" vertical="center"/>
    </xf>
    <xf numFmtId="169" fontId="36" fillId="0" borderId="3" xfId="0" applyNumberFormat="1" applyFont="1" applyBorder="1" applyAlignment="1">
      <alignment horizontal="center" vertical="center"/>
    </xf>
    <xf numFmtId="167" fontId="36" fillId="5" borderId="4" xfId="0" applyNumberFormat="1" applyFont="1" applyFill="1" applyBorder="1" applyAlignment="1" applyProtection="1">
      <alignment horizontal="center"/>
      <protection locked="0"/>
    </xf>
    <xf numFmtId="166" fontId="36" fillId="5" borderId="6" xfId="2" applyNumberFormat="1" applyFont="1" applyFill="1" applyBorder="1" applyAlignment="1" applyProtection="1">
      <alignment horizontal="center"/>
      <protection locked="0"/>
    </xf>
    <xf numFmtId="167" fontId="36" fillId="5" borderId="44" xfId="0" applyNumberFormat="1" applyFont="1" applyFill="1" applyBorder="1" applyAlignment="1">
      <alignment horizontal="center" vertical="center"/>
    </xf>
    <xf numFmtId="167" fontId="36" fillId="0" borderId="4" xfId="0" applyNumberFormat="1" applyFont="1" applyBorder="1" applyAlignment="1" applyProtection="1">
      <alignment horizontal="center"/>
      <protection locked="0"/>
    </xf>
    <xf numFmtId="166" fontId="36" fillId="0" borderId="6" xfId="2" applyNumberFormat="1" applyFont="1" applyBorder="1" applyAlignment="1" applyProtection="1">
      <alignment horizontal="center"/>
      <protection locked="0"/>
    </xf>
    <xf numFmtId="167" fontId="36" fillId="0" borderId="24" xfId="0" applyNumberFormat="1" applyFont="1" applyBorder="1" applyAlignment="1">
      <alignment horizontal="center" vertical="center"/>
    </xf>
    <xf numFmtId="169" fontId="36" fillId="0" borderId="7" xfId="0" applyNumberFormat="1" applyFont="1" applyBorder="1" applyAlignment="1">
      <alignment horizontal="center" vertical="center"/>
    </xf>
    <xf numFmtId="167" fontId="36" fillId="5" borderId="7" xfId="0" applyNumberFormat="1" applyFont="1" applyFill="1" applyBorder="1" applyAlignment="1" applyProtection="1">
      <alignment horizontal="center"/>
      <protection locked="0"/>
    </xf>
    <xf numFmtId="166" fontId="36" fillId="5" borderId="9" xfId="2" applyNumberFormat="1" applyFont="1" applyFill="1" applyBorder="1" applyAlignment="1" applyProtection="1">
      <alignment horizontal="center"/>
      <protection locked="0"/>
    </xf>
    <xf numFmtId="166" fontId="36" fillId="0" borderId="0" xfId="2" applyNumberFormat="1" applyFont="1" applyBorder="1" applyAlignment="1">
      <alignment horizontal="center"/>
    </xf>
    <xf numFmtId="0" fontId="41" fillId="0" borderId="0" xfId="0" quotePrefix="1" applyFont="1"/>
    <xf numFmtId="0" fontId="34" fillId="0" borderId="0" xfId="0" applyFont="1"/>
    <xf numFmtId="0" fontId="36" fillId="0" borderId="43" xfId="0" applyFont="1" applyBorder="1" applyAlignment="1">
      <alignment horizontal="center"/>
    </xf>
    <xf numFmtId="0" fontId="36" fillId="0" borderId="32" xfId="0" applyFont="1" applyBorder="1" applyAlignment="1">
      <alignment horizontal="center"/>
    </xf>
    <xf numFmtId="14" fontId="36" fillId="0" borderId="2" xfId="0" applyNumberFormat="1" applyFont="1" applyBorder="1" applyAlignment="1">
      <alignment horizontal="center"/>
    </xf>
    <xf numFmtId="0" fontId="36" fillId="0" borderId="31" xfId="0" applyFont="1" applyBorder="1" applyAlignment="1">
      <alignment horizontal="left"/>
    </xf>
    <xf numFmtId="0" fontId="36" fillId="0" borderId="2" xfId="0" applyFont="1" applyBorder="1" applyAlignment="1">
      <alignment horizontal="center"/>
    </xf>
    <xf numFmtId="0" fontId="36" fillId="0" borderId="31" xfId="0" applyFont="1" applyBorder="1"/>
    <xf numFmtId="14" fontId="36" fillId="0" borderId="2" xfId="0" applyNumberFormat="1" applyFont="1" applyBorder="1" applyAlignment="1">
      <alignment horizontal="right"/>
    </xf>
    <xf numFmtId="167" fontId="36" fillId="0" borderId="10" xfId="0" applyNumberFormat="1" applyFont="1" applyBorder="1" applyAlignment="1">
      <alignment horizontal="center" vertical="center"/>
    </xf>
    <xf numFmtId="2" fontId="36" fillId="0" borderId="11" xfId="0" applyNumberFormat="1" applyFont="1" applyBorder="1" applyAlignment="1">
      <alignment horizontal="center" vertical="center"/>
    </xf>
    <xf numFmtId="4" fontId="36" fillId="0" borderId="12" xfId="0" applyNumberFormat="1" applyFont="1" applyBorder="1" applyAlignment="1">
      <alignment horizontal="center" vertical="center"/>
    </xf>
    <xf numFmtId="167" fontId="36" fillId="5" borderId="4" xfId="0" applyNumberFormat="1" applyFont="1" applyFill="1" applyBorder="1" applyAlignment="1">
      <alignment horizontal="center" vertical="center"/>
    </xf>
    <xf numFmtId="2" fontId="36" fillId="5" borderId="5" xfId="0" applyNumberFormat="1" applyFont="1" applyFill="1" applyBorder="1" applyAlignment="1">
      <alignment horizontal="center" vertical="center"/>
    </xf>
    <xf numFmtId="4" fontId="36" fillId="5" borderId="6" xfId="0" applyNumberFormat="1" applyFont="1" applyFill="1" applyBorder="1" applyAlignment="1">
      <alignment horizontal="center" vertical="center"/>
    </xf>
    <xf numFmtId="167" fontId="36" fillId="0" borderId="4" xfId="0" applyNumberFormat="1" applyFont="1" applyBorder="1" applyAlignment="1">
      <alignment horizontal="center" vertical="center"/>
    </xf>
    <xf numFmtId="2" fontId="36" fillId="0" borderId="5" xfId="0" applyNumberFormat="1" applyFont="1" applyBorder="1" applyAlignment="1">
      <alignment horizontal="center" vertical="center"/>
    </xf>
    <xf numFmtId="4" fontId="36" fillId="0" borderId="6" xfId="0" applyNumberFormat="1" applyFont="1" applyBorder="1" applyAlignment="1">
      <alignment horizontal="center" vertical="center"/>
    </xf>
    <xf numFmtId="167" fontId="36" fillId="0" borderId="7" xfId="0" applyNumberFormat="1" applyFont="1" applyBorder="1" applyAlignment="1">
      <alignment horizontal="center" vertical="center"/>
    </xf>
    <xf numFmtId="2" fontId="36" fillId="0" borderId="8" xfId="0" applyNumberFormat="1" applyFont="1" applyBorder="1" applyAlignment="1">
      <alignment horizontal="center" vertical="center"/>
    </xf>
    <xf numFmtId="2" fontId="36" fillId="0" borderId="9" xfId="0" applyNumberFormat="1" applyFont="1" applyBorder="1" applyAlignment="1">
      <alignment horizontal="center" vertical="center"/>
    </xf>
    <xf numFmtId="37" fontId="36" fillId="0" borderId="0" xfId="0" applyNumberFormat="1" applyFont="1"/>
    <xf numFmtId="0" fontId="38" fillId="0" borderId="0" xfId="0" applyFont="1" applyAlignment="1">
      <alignment horizontal="left"/>
    </xf>
    <xf numFmtId="0" fontId="39" fillId="0" borderId="0" xfId="0" applyFont="1" applyAlignment="1">
      <alignment horizontal="center"/>
    </xf>
    <xf numFmtId="0" fontId="35" fillId="0" borderId="0" xfId="0" applyFont="1" applyAlignment="1">
      <alignment horizontal="center" vertical="center"/>
    </xf>
    <xf numFmtId="0" fontId="34" fillId="7" borderId="2" xfId="0" applyFont="1" applyFill="1" applyBorder="1" applyAlignment="1">
      <alignment horizontal="center" vertical="center" wrapText="1"/>
    </xf>
    <xf numFmtId="0" fontId="34" fillId="7" borderId="33" xfId="0" applyFont="1" applyFill="1" applyBorder="1" applyAlignment="1">
      <alignment horizontal="center" vertical="center" wrapText="1"/>
    </xf>
    <xf numFmtId="2" fontId="36" fillId="0" borderId="0" xfId="0" applyNumberFormat="1" applyFont="1" applyAlignment="1">
      <alignment horizontal="center"/>
    </xf>
    <xf numFmtId="167" fontId="36" fillId="0" borderId="14" xfId="0" applyNumberFormat="1" applyFont="1" applyBorder="1" applyAlignment="1">
      <alignment horizontal="center"/>
    </xf>
    <xf numFmtId="37" fontId="36" fillId="0" borderId="34" xfId="3" applyNumberFormat="1" applyFont="1" applyFill="1" applyBorder="1" applyAlignment="1" applyProtection="1">
      <alignment horizontal="center" vertical="center"/>
      <protection locked="0"/>
    </xf>
    <xf numFmtId="5" fontId="36" fillId="0" borderId="12" xfId="3" applyNumberFormat="1" applyFont="1" applyFill="1" applyBorder="1" applyAlignment="1" applyProtection="1">
      <alignment horizontal="center" vertical="center"/>
      <protection locked="0"/>
    </xf>
    <xf numFmtId="5" fontId="36" fillId="0" borderId="51" xfId="3" applyNumberFormat="1" applyFont="1" applyFill="1" applyBorder="1" applyAlignment="1">
      <alignment horizontal="center" wrapText="1"/>
    </xf>
    <xf numFmtId="170" fontId="36" fillId="2" borderId="3" xfId="0" quotePrefix="1" applyNumberFormat="1" applyFont="1" applyFill="1" applyBorder="1" applyAlignment="1">
      <alignment horizontal="center" wrapText="1"/>
    </xf>
    <xf numFmtId="169" fontId="36" fillId="0" borderId="0" xfId="0" applyNumberFormat="1" applyFont="1" applyAlignment="1">
      <alignment horizontal="center"/>
    </xf>
    <xf numFmtId="167" fontId="36" fillId="5" borderId="14" xfId="0" applyNumberFormat="1" applyFont="1" applyFill="1" applyBorder="1" applyAlignment="1">
      <alignment horizontal="center"/>
    </xf>
    <xf numFmtId="37" fontId="36" fillId="5" borderId="27" xfId="3" applyNumberFormat="1" applyFont="1" applyFill="1" applyBorder="1" applyAlignment="1" applyProtection="1">
      <alignment horizontal="center" vertical="center"/>
      <protection locked="0"/>
    </xf>
    <xf numFmtId="5" fontId="36" fillId="5" borderId="6" xfId="3" applyNumberFormat="1" applyFont="1" applyFill="1" applyBorder="1" applyAlignment="1" applyProtection="1">
      <alignment horizontal="center" vertical="center"/>
      <protection locked="0"/>
    </xf>
    <xf numFmtId="167" fontId="36" fillId="5" borderId="13" xfId="0" applyNumberFormat="1" applyFont="1" applyFill="1" applyBorder="1" applyAlignment="1">
      <alignment horizontal="center"/>
    </xf>
    <xf numFmtId="5" fontId="36" fillId="5" borderId="4" xfId="3" applyNumberFormat="1" applyFont="1" applyFill="1" applyBorder="1" applyAlignment="1">
      <alignment horizontal="center" wrapText="1"/>
    </xf>
    <xf numFmtId="170" fontId="36" fillId="2" borderId="6" xfId="0" quotePrefix="1" applyNumberFormat="1" applyFont="1" applyFill="1" applyBorder="1" applyAlignment="1">
      <alignment horizontal="center" wrapText="1"/>
    </xf>
    <xf numFmtId="37" fontId="36" fillId="0" borderId="27" xfId="3" applyNumberFormat="1" applyFont="1" applyFill="1" applyBorder="1" applyAlignment="1" applyProtection="1">
      <alignment horizontal="center" vertical="center"/>
      <protection locked="0"/>
    </xf>
    <xf numFmtId="5" fontId="36" fillId="0" borderId="6" xfId="3" applyNumberFormat="1" applyFont="1" applyFill="1" applyBorder="1" applyAlignment="1" applyProtection="1">
      <alignment horizontal="center" vertical="center"/>
      <protection locked="0"/>
    </xf>
    <xf numFmtId="167" fontId="36" fillId="0" borderId="13" xfId="0" applyNumberFormat="1" applyFont="1" applyBorder="1" applyAlignment="1">
      <alignment horizontal="center"/>
    </xf>
    <xf numFmtId="5" fontId="36" fillId="0" borderId="4" xfId="3" applyNumberFormat="1" applyFont="1" applyFill="1" applyBorder="1" applyAlignment="1">
      <alignment horizontal="center" wrapText="1"/>
    </xf>
    <xf numFmtId="5" fontId="36" fillId="5" borderId="6" xfId="3" applyNumberFormat="1" applyFont="1" applyFill="1" applyBorder="1" applyAlignment="1">
      <alignment horizontal="center" wrapText="1"/>
    </xf>
    <xf numFmtId="5" fontId="36" fillId="0" borderId="6" xfId="3" applyNumberFormat="1" applyFont="1" applyFill="1" applyBorder="1" applyAlignment="1">
      <alignment horizontal="center" wrapText="1"/>
    </xf>
    <xf numFmtId="37" fontId="36" fillId="0" borderId="0" xfId="3" applyNumberFormat="1" applyFont="1" applyBorder="1" applyAlignment="1">
      <alignment horizontal="center" wrapText="1"/>
    </xf>
    <xf numFmtId="37" fontId="36" fillId="0" borderId="0" xfId="3" applyNumberFormat="1" applyFont="1" applyFill="1" applyBorder="1" applyAlignment="1">
      <alignment horizontal="center" wrapText="1"/>
    </xf>
    <xf numFmtId="0" fontId="36" fillId="0" borderId="14" xfId="0" applyFont="1" applyBorder="1" applyAlignment="1">
      <alignment horizontal="center"/>
    </xf>
    <xf numFmtId="166" fontId="36" fillId="0" borderId="14" xfId="2" applyNumberFormat="1" applyFont="1" applyFill="1" applyBorder="1" applyAlignment="1">
      <alignment horizontal="center"/>
    </xf>
    <xf numFmtId="169" fontId="36" fillId="0" borderId="0" xfId="0" applyNumberFormat="1" applyFont="1" applyAlignment="1">
      <alignment wrapText="1"/>
    </xf>
    <xf numFmtId="0" fontId="36" fillId="5" borderId="13" xfId="0" applyFont="1" applyFill="1" applyBorder="1" applyAlignment="1">
      <alignment horizontal="center"/>
    </xf>
    <xf numFmtId="166" fontId="36" fillId="5" borderId="13" xfId="2" applyNumberFormat="1" applyFont="1" applyFill="1" applyBorder="1" applyAlignment="1">
      <alignment horizontal="center"/>
    </xf>
    <xf numFmtId="0" fontId="36" fillId="0" borderId="13" xfId="0" applyFont="1" applyBorder="1" applyAlignment="1">
      <alignment horizontal="center"/>
    </xf>
    <xf numFmtId="166" fontId="36" fillId="0" borderId="13" xfId="2" applyNumberFormat="1" applyFont="1" applyFill="1" applyBorder="1" applyAlignment="1">
      <alignment horizontal="center"/>
    </xf>
    <xf numFmtId="169" fontId="35" fillId="0" borderId="0" xfId="0" applyNumberFormat="1" applyFont="1" applyAlignment="1">
      <alignment wrapText="1"/>
    </xf>
    <xf numFmtId="37" fontId="36" fillId="0" borderId="4" xfId="3" applyNumberFormat="1" applyFont="1" applyFill="1" applyBorder="1" applyAlignment="1" applyProtection="1">
      <alignment horizontal="center" vertical="center"/>
      <protection locked="0"/>
    </xf>
    <xf numFmtId="167" fontId="36" fillId="5" borderId="15" xfId="0" applyNumberFormat="1" applyFont="1" applyFill="1" applyBorder="1" applyAlignment="1">
      <alignment horizontal="center"/>
    </xf>
    <xf numFmtId="37" fontId="36" fillId="5" borderId="7" xfId="3" applyNumberFormat="1" applyFont="1" applyFill="1" applyBorder="1" applyAlignment="1" applyProtection="1">
      <alignment horizontal="center" vertical="center"/>
      <protection locked="0"/>
    </xf>
    <xf numFmtId="5" fontId="36" fillId="5" borderId="9" xfId="3" applyNumberFormat="1" applyFont="1" applyFill="1" applyBorder="1" applyAlignment="1" applyProtection="1">
      <alignment horizontal="center" vertical="center"/>
      <protection locked="0"/>
    </xf>
    <xf numFmtId="5" fontId="36" fillId="5" borderId="7" xfId="3" applyNumberFormat="1" applyFont="1" applyFill="1" applyBorder="1" applyAlignment="1">
      <alignment horizontal="center" wrapText="1"/>
    </xf>
    <xf numFmtId="5" fontId="36" fillId="5" borderId="9" xfId="3" applyNumberFormat="1" applyFont="1" applyFill="1" applyBorder="1" applyAlignment="1">
      <alignment horizontal="center" wrapText="1"/>
    </xf>
    <xf numFmtId="0" fontId="36" fillId="5" borderId="15" xfId="0" applyFont="1" applyFill="1" applyBorder="1" applyAlignment="1">
      <alignment horizontal="center"/>
    </xf>
    <xf numFmtId="166" fontId="36" fillId="5" borderId="15" xfId="2" applyNumberFormat="1" applyFont="1" applyFill="1" applyBorder="1" applyAlignment="1">
      <alignment horizontal="center"/>
    </xf>
    <xf numFmtId="14" fontId="36" fillId="0" borderId="0" xfId="0" applyNumberFormat="1" applyFont="1" applyAlignment="1">
      <alignment horizontal="center"/>
    </xf>
    <xf numFmtId="167" fontId="36" fillId="0" borderId="0" xfId="0" applyNumberFormat="1" applyFont="1" applyAlignment="1">
      <alignment horizontal="center"/>
    </xf>
    <xf numFmtId="0" fontId="36" fillId="0" borderId="10" xfId="0" applyFont="1" applyBorder="1" applyAlignment="1">
      <alignment horizontal="center"/>
    </xf>
    <xf numFmtId="166" fontId="35" fillId="0" borderId="12" xfId="2" applyNumberFormat="1" applyFont="1" applyFill="1" applyBorder="1" applyAlignment="1" applyProtection="1">
      <alignment horizontal="center"/>
      <protection locked="0"/>
    </xf>
    <xf numFmtId="168" fontId="36" fillId="0" borderId="0" xfId="0" applyNumberFormat="1" applyFont="1" applyAlignment="1">
      <alignment horizontal="right" wrapText="1"/>
    </xf>
    <xf numFmtId="0" fontId="36" fillId="0" borderId="7" xfId="0" applyFont="1" applyBorder="1" applyAlignment="1">
      <alignment horizontal="center"/>
    </xf>
    <xf numFmtId="166" fontId="35" fillId="0" borderId="9" xfId="2" applyNumberFormat="1" applyFont="1" applyFill="1" applyBorder="1" applyAlignment="1" applyProtection="1">
      <alignment horizontal="center"/>
      <protection locked="0"/>
    </xf>
    <xf numFmtId="166" fontId="35" fillId="0" borderId="12" xfId="2" applyNumberFormat="1" applyFont="1" applyBorder="1" applyAlignment="1" applyProtection="1">
      <alignment horizontal="center"/>
    </xf>
    <xf numFmtId="166" fontId="35" fillId="0" borderId="9" xfId="2" applyNumberFormat="1" applyFont="1" applyBorder="1" applyAlignment="1" applyProtection="1">
      <alignment horizontal="center"/>
    </xf>
    <xf numFmtId="166" fontId="35" fillId="0" borderId="0" xfId="2" applyNumberFormat="1" applyFont="1" applyBorder="1" applyAlignment="1">
      <alignment horizontal="center"/>
    </xf>
    <xf numFmtId="4" fontId="36" fillId="0" borderId="11" xfId="0" applyNumberFormat="1" applyFont="1" applyBorder="1" applyAlignment="1">
      <alignment horizontal="center" vertical="center"/>
    </xf>
    <xf numFmtId="164" fontId="35" fillId="0" borderId="12" xfId="0" applyNumberFormat="1" applyFont="1" applyBorder="1" applyAlignment="1">
      <alignment horizontal="center" vertical="center"/>
    </xf>
    <xf numFmtId="164" fontId="35" fillId="5" borderId="6" xfId="0" applyNumberFormat="1" applyFont="1" applyFill="1" applyBorder="1" applyAlignment="1">
      <alignment horizontal="center" vertical="center"/>
    </xf>
    <xf numFmtId="164" fontId="35" fillId="0" borderId="6" xfId="0" applyNumberFormat="1" applyFont="1" applyBorder="1" applyAlignment="1">
      <alignment horizontal="center" vertical="center"/>
    </xf>
    <xf numFmtId="164" fontId="35" fillId="0" borderId="9" xfId="0" applyNumberFormat="1" applyFont="1" applyBorder="1" applyAlignment="1">
      <alignment horizontal="center" vertical="center"/>
    </xf>
    <xf numFmtId="0" fontId="34" fillId="7" borderId="43" xfId="0" applyFont="1" applyFill="1" applyBorder="1" applyAlignment="1">
      <alignment horizontal="center" vertical="center" wrapText="1"/>
    </xf>
    <xf numFmtId="0" fontId="34" fillId="7" borderId="40" xfId="0" applyFont="1" applyFill="1" applyBorder="1" applyAlignment="1">
      <alignment horizontal="center" vertical="center" wrapText="1"/>
    </xf>
    <xf numFmtId="0" fontId="35" fillId="7" borderId="2" xfId="0" applyFont="1" applyFill="1" applyBorder="1" applyAlignment="1">
      <alignment horizontal="center" vertical="center" wrapText="1"/>
    </xf>
    <xf numFmtId="0" fontId="35" fillId="7" borderId="43" xfId="0" applyFont="1" applyFill="1" applyBorder="1" applyAlignment="1">
      <alignment horizontal="center" vertical="center" wrapText="1"/>
    </xf>
    <xf numFmtId="0" fontId="35" fillId="7" borderId="40" xfId="0" applyFont="1" applyFill="1" applyBorder="1" applyAlignment="1">
      <alignment horizontal="center" vertical="center" wrapText="1"/>
    </xf>
    <xf numFmtId="0" fontId="35" fillId="7" borderId="42" xfId="0" applyFont="1" applyFill="1" applyBorder="1" applyAlignment="1">
      <alignment horizontal="center" vertical="center" wrapText="1"/>
    </xf>
    <xf numFmtId="173" fontId="36" fillId="0" borderId="0" xfId="0" applyNumberFormat="1" applyFont="1" applyAlignment="1">
      <alignment horizontal="center"/>
    </xf>
    <xf numFmtId="173" fontId="36" fillId="0" borderId="50" xfId="0" applyNumberFormat="1" applyFont="1" applyBorder="1" applyAlignment="1" applyProtection="1">
      <alignment horizontal="center"/>
      <protection hidden="1"/>
    </xf>
    <xf numFmtId="37" fontId="36" fillId="0" borderId="34" xfId="3" applyNumberFormat="1" applyFont="1" applyFill="1" applyBorder="1" applyAlignment="1" applyProtection="1">
      <alignment horizontal="center"/>
      <protection locked="0"/>
    </xf>
    <xf numFmtId="37" fontId="36" fillId="0" borderId="11" xfId="3" applyNumberFormat="1" applyFont="1" applyFill="1" applyBorder="1" applyAlignment="1" applyProtection="1">
      <alignment horizontal="center"/>
      <protection locked="0"/>
    </xf>
    <xf numFmtId="5" fontId="36" fillId="0" borderId="12" xfId="3" applyNumberFormat="1" applyFont="1" applyFill="1" applyBorder="1" applyAlignment="1" applyProtection="1">
      <alignment horizontal="center"/>
      <protection locked="0"/>
    </xf>
    <xf numFmtId="173" fontId="36" fillId="0" borderId="14" xfId="0" applyNumberFormat="1" applyFont="1" applyBorder="1" applyAlignment="1">
      <alignment horizontal="center"/>
    </xf>
    <xf numFmtId="166" fontId="36" fillId="0" borderId="34" xfId="2" applyNumberFormat="1" applyFont="1" applyFill="1" applyBorder="1" applyAlignment="1">
      <alignment horizontal="center"/>
    </xf>
    <xf numFmtId="5" fontId="36" fillId="0" borderId="11" xfId="3" applyNumberFormat="1" applyFont="1" applyFill="1" applyBorder="1" applyAlignment="1">
      <alignment horizontal="center"/>
    </xf>
    <xf numFmtId="7" fontId="36" fillId="0" borderId="12" xfId="3" applyNumberFormat="1" applyFont="1" applyFill="1" applyBorder="1" applyAlignment="1">
      <alignment horizontal="center"/>
    </xf>
    <xf numFmtId="167" fontId="36" fillId="2" borderId="14" xfId="0" applyNumberFormat="1" applyFont="1" applyFill="1" applyBorder="1" applyAlignment="1">
      <alignment horizontal="center"/>
    </xf>
    <xf numFmtId="166" fontId="36" fillId="2" borderId="34" xfId="2" applyNumberFormat="1" applyFont="1" applyFill="1" applyBorder="1" applyAlignment="1">
      <alignment horizontal="center" wrapText="1"/>
    </xf>
    <xf numFmtId="169" fontId="36" fillId="2" borderId="11" xfId="0" applyNumberFormat="1" applyFont="1" applyFill="1" applyBorder="1" applyAlignment="1">
      <alignment horizontal="center" wrapText="1"/>
    </xf>
    <xf numFmtId="170" fontId="36" fillId="2" borderId="12" xfId="0" applyNumberFormat="1" applyFont="1" applyFill="1" applyBorder="1" applyAlignment="1">
      <alignment horizontal="center" wrapText="1"/>
    </xf>
    <xf numFmtId="173" fontId="36" fillId="5" borderId="13" xfId="0" applyNumberFormat="1" applyFont="1" applyFill="1" applyBorder="1" applyAlignment="1" applyProtection="1">
      <alignment horizontal="center"/>
      <protection hidden="1"/>
    </xf>
    <xf numFmtId="37" fontId="36" fillId="5" borderId="27" xfId="3" applyNumberFormat="1" applyFont="1" applyFill="1" applyBorder="1" applyAlignment="1" applyProtection="1">
      <alignment horizontal="center"/>
      <protection locked="0"/>
    </xf>
    <xf numFmtId="37" fontId="36" fillId="5" borderId="5" xfId="3" applyNumberFormat="1" applyFont="1" applyFill="1" applyBorder="1" applyAlignment="1" applyProtection="1">
      <alignment horizontal="center"/>
      <protection locked="0"/>
    </xf>
    <xf numFmtId="5" fontId="36" fillId="5" borderId="6" xfId="3" applyNumberFormat="1" applyFont="1" applyFill="1" applyBorder="1" applyAlignment="1" applyProtection="1">
      <alignment horizontal="center"/>
      <protection locked="0"/>
    </xf>
    <xf numFmtId="173" fontId="36" fillId="5" borderId="13" xfId="0" applyNumberFormat="1" applyFont="1" applyFill="1" applyBorder="1" applyAlignment="1">
      <alignment horizontal="center"/>
    </xf>
    <xf numFmtId="166" fontId="36" fillId="5" borderId="34" xfId="2" applyNumberFormat="1" applyFont="1" applyFill="1" applyBorder="1" applyAlignment="1">
      <alignment horizontal="center"/>
    </xf>
    <xf numFmtId="5" fontId="36" fillId="5" borderId="11" xfId="3" applyNumberFormat="1" applyFont="1" applyFill="1" applyBorder="1" applyAlignment="1">
      <alignment horizontal="center"/>
    </xf>
    <xf numFmtId="7" fontId="36" fillId="5" borderId="12" xfId="3" applyNumberFormat="1" applyFont="1" applyFill="1" applyBorder="1" applyAlignment="1">
      <alignment horizontal="center"/>
    </xf>
    <xf numFmtId="167" fontId="36" fillId="2" borderId="13" xfId="0" applyNumberFormat="1" applyFont="1" applyFill="1" applyBorder="1" applyAlignment="1">
      <alignment horizontal="center"/>
    </xf>
    <xf numFmtId="166" fontId="36" fillId="2" borderId="27" xfId="2" applyNumberFormat="1" applyFont="1" applyFill="1" applyBorder="1" applyAlignment="1">
      <alignment horizontal="center" wrapText="1"/>
    </xf>
    <xf numFmtId="169" fontId="36" fillId="2" borderId="5" xfId="0" applyNumberFormat="1" applyFont="1" applyFill="1" applyBorder="1" applyAlignment="1">
      <alignment horizontal="center" wrapText="1"/>
    </xf>
    <xf numFmtId="170" fontId="36" fillId="2" borderId="6" xfId="0" applyNumberFormat="1" applyFont="1" applyFill="1" applyBorder="1" applyAlignment="1">
      <alignment horizontal="center" wrapText="1"/>
    </xf>
    <xf numFmtId="173" fontId="36" fillId="0" borderId="13" xfId="0" applyNumberFormat="1" applyFont="1" applyBorder="1" applyAlignment="1" applyProtection="1">
      <alignment horizontal="center"/>
      <protection hidden="1"/>
    </xf>
    <xf numFmtId="37" fontId="36" fillId="0" borderId="27" xfId="3" applyNumberFormat="1" applyFont="1" applyFill="1" applyBorder="1" applyAlignment="1" applyProtection="1">
      <alignment horizontal="center"/>
      <protection locked="0"/>
    </xf>
    <xf numFmtId="37" fontId="36" fillId="0" borderId="5" xfId="3" applyNumberFormat="1" applyFont="1" applyFill="1" applyBorder="1" applyAlignment="1" applyProtection="1">
      <alignment horizontal="center"/>
      <protection locked="0"/>
    </xf>
    <xf numFmtId="5" fontId="36" fillId="0" borderId="6" xfId="3" applyNumberFormat="1" applyFont="1" applyFill="1" applyBorder="1" applyAlignment="1" applyProtection="1">
      <alignment horizontal="center"/>
      <protection locked="0"/>
    </xf>
    <xf numFmtId="166" fontId="36" fillId="5" borderId="27" xfId="2" applyNumberFormat="1" applyFont="1" applyFill="1" applyBorder="1" applyAlignment="1">
      <alignment horizontal="center"/>
    </xf>
    <xf numFmtId="5" fontId="36" fillId="5" borderId="5" xfId="3" applyNumberFormat="1" applyFont="1" applyFill="1" applyBorder="1" applyAlignment="1">
      <alignment horizontal="center"/>
    </xf>
    <xf numFmtId="7" fontId="36" fillId="5" borderId="6" xfId="3" applyNumberFormat="1" applyFont="1" applyFill="1" applyBorder="1" applyAlignment="1">
      <alignment horizontal="center"/>
    </xf>
    <xf numFmtId="166" fontId="36" fillId="0" borderId="27" xfId="2" applyNumberFormat="1" applyFont="1" applyFill="1" applyBorder="1" applyAlignment="1">
      <alignment horizontal="center"/>
    </xf>
    <xf numFmtId="5" fontId="36" fillId="0" borderId="5" xfId="3" applyNumberFormat="1" applyFont="1" applyFill="1" applyBorder="1" applyAlignment="1">
      <alignment horizontal="center"/>
    </xf>
    <xf numFmtId="7" fontId="36" fillId="0" borderId="6" xfId="3" applyNumberFormat="1" applyFont="1" applyFill="1" applyBorder="1" applyAlignment="1">
      <alignment horizontal="center"/>
    </xf>
    <xf numFmtId="173" fontId="36" fillId="5" borderId="14" xfId="0" applyNumberFormat="1" applyFont="1" applyFill="1" applyBorder="1" applyAlignment="1">
      <alignment horizontal="center"/>
    </xf>
    <xf numFmtId="173" fontId="36" fillId="5" borderId="15" xfId="0" applyNumberFormat="1" applyFont="1" applyFill="1" applyBorder="1" applyAlignment="1" applyProtection="1">
      <alignment horizontal="center"/>
      <protection hidden="1"/>
    </xf>
    <xf numFmtId="37" fontId="36" fillId="5" borderId="28" xfId="3" applyNumberFormat="1" applyFont="1" applyFill="1" applyBorder="1" applyAlignment="1" applyProtection="1">
      <alignment horizontal="center"/>
      <protection locked="0"/>
    </xf>
    <xf numFmtId="37" fontId="36" fillId="5" borderId="8" xfId="3" applyNumberFormat="1" applyFont="1" applyFill="1" applyBorder="1" applyAlignment="1" applyProtection="1">
      <alignment horizontal="center"/>
      <protection locked="0"/>
    </xf>
    <xf numFmtId="5" fontId="36" fillId="5" borderId="9" xfId="3" applyNumberFormat="1" applyFont="1" applyFill="1" applyBorder="1" applyAlignment="1" applyProtection="1">
      <alignment horizontal="center"/>
      <protection locked="0"/>
    </xf>
    <xf numFmtId="173" fontId="36" fillId="5" borderId="15" xfId="0" applyNumberFormat="1" applyFont="1" applyFill="1" applyBorder="1" applyAlignment="1">
      <alignment horizontal="center"/>
    </xf>
    <xf numFmtId="166" fontId="36" fillId="5" borderId="7" xfId="2" applyNumberFormat="1" applyFont="1" applyFill="1" applyBorder="1" applyAlignment="1">
      <alignment horizontal="center"/>
    </xf>
    <xf numFmtId="5" fontId="36" fillId="5" borderId="8" xfId="3" applyNumberFormat="1" applyFont="1" applyFill="1" applyBorder="1" applyAlignment="1">
      <alignment horizontal="center"/>
    </xf>
    <xf numFmtId="7" fontId="36" fillId="5" borderId="9" xfId="3" applyNumberFormat="1" applyFont="1" applyFill="1" applyBorder="1" applyAlignment="1">
      <alignment horizontal="center"/>
    </xf>
    <xf numFmtId="37" fontId="36" fillId="0" borderId="0" xfId="3" applyNumberFormat="1" applyFont="1" applyFill="1" applyBorder="1" applyAlignment="1" applyProtection="1">
      <alignment horizontal="center"/>
      <protection locked="0"/>
    </xf>
    <xf numFmtId="5" fontId="36" fillId="0" borderId="0" xfId="3" applyNumberFormat="1" applyFont="1" applyFill="1" applyBorder="1" applyAlignment="1" applyProtection="1">
      <alignment horizontal="center"/>
      <protection locked="0"/>
    </xf>
    <xf numFmtId="166" fontId="36" fillId="0" borderId="0" xfId="2" applyNumberFormat="1" applyFont="1" applyFill="1" applyBorder="1" applyAlignment="1">
      <alignment horizontal="center"/>
    </xf>
    <xf numFmtId="5" fontId="36" fillId="0" borderId="0" xfId="3" applyNumberFormat="1" applyFont="1" applyFill="1" applyBorder="1" applyAlignment="1">
      <alignment horizontal="center"/>
    </xf>
    <xf numFmtId="7" fontId="36" fillId="0" borderId="0" xfId="3" applyNumberFormat="1" applyFont="1" applyFill="1" applyBorder="1" applyAlignment="1">
      <alignment horizontal="center"/>
    </xf>
    <xf numFmtId="166" fontId="36" fillId="0" borderId="51" xfId="2" applyNumberFormat="1" applyFont="1" applyFill="1" applyBorder="1" applyAlignment="1">
      <alignment horizontal="center"/>
    </xf>
    <xf numFmtId="166" fontId="36" fillId="0" borderId="52" xfId="2" applyNumberFormat="1" applyFont="1" applyFill="1" applyBorder="1" applyAlignment="1">
      <alignment horizontal="center"/>
    </xf>
    <xf numFmtId="166" fontId="36" fillId="0" borderId="3" xfId="2" applyNumberFormat="1" applyFont="1" applyFill="1" applyBorder="1" applyAlignment="1">
      <alignment horizontal="center"/>
    </xf>
    <xf numFmtId="0" fontId="36" fillId="5" borderId="14" xfId="0" applyFont="1" applyFill="1" applyBorder="1" applyAlignment="1">
      <alignment horizontal="center"/>
    </xf>
    <xf numFmtId="166" fontId="36" fillId="5" borderId="4" xfId="2" applyNumberFormat="1" applyFont="1" applyFill="1" applyBorder="1" applyAlignment="1">
      <alignment horizontal="center"/>
    </xf>
    <xf numFmtId="166" fontId="36" fillId="5" borderId="5" xfId="2" applyNumberFormat="1" applyFont="1" applyFill="1" applyBorder="1" applyAlignment="1">
      <alignment horizontal="center"/>
    </xf>
    <xf numFmtId="166" fontId="36" fillId="5" borderId="6" xfId="2" applyNumberFormat="1" applyFont="1" applyFill="1" applyBorder="1" applyAlignment="1">
      <alignment horizontal="center"/>
    </xf>
    <xf numFmtId="166" fontId="36" fillId="0" borderId="4" xfId="2" applyNumberFormat="1" applyFont="1" applyFill="1" applyBorder="1" applyAlignment="1">
      <alignment horizontal="center"/>
    </xf>
    <xf numFmtId="166" fontId="36" fillId="0" borderId="5" xfId="2" applyNumberFormat="1" applyFont="1" applyFill="1" applyBorder="1" applyAlignment="1">
      <alignment horizontal="center"/>
    </xf>
    <xf numFmtId="166" fontId="36" fillId="0" borderId="6" xfId="2" applyNumberFormat="1" applyFont="1" applyFill="1" applyBorder="1" applyAlignment="1">
      <alignment horizontal="center"/>
    </xf>
    <xf numFmtId="166" fontId="36" fillId="5" borderId="8" xfId="2" applyNumberFormat="1" applyFont="1" applyFill="1" applyBorder="1" applyAlignment="1">
      <alignment horizontal="center"/>
    </xf>
    <xf numFmtId="166" fontId="36" fillId="5" borderId="9" xfId="2" applyNumberFormat="1" applyFont="1" applyFill="1" applyBorder="1" applyAlignment="1">
      <alignment horizontal="center"/>
    </xf>
    <xf numFmtId="168" fontId="36" fillId="0" borderId="0" xfId="2" applyNumberFormat="1" applyFont="1" applyAlignment="1">
      <alignment horizontal="right"/>
    </xf>
    <xf numFmtId="166" fontId="35" fillId="0" borderId="34" xfId="2" applyNumberFormat="1" applyFont="1" applyFill="1" applyBorder="1" applyAlignment="1" applyProtection="1">
      <alignment horizontal="center"/>
      <protection locked="0"/>
    </xf>
    <xf numFmtId="166" fontId="35" fillId="0" borderId="11" xfId="2" applyNumberFormat="1" applyFont="1" applyFill="1" applyBorder="1" applyAlignment="1" applyProtection="1">
      <alignment horizontal="center"/>
      <protection locked="0"/>
    </xf>
    <xf numFmtId="166" fontId="35" fillId="0" borderId="12" xfId="2" applyNumberFormat="1" applyFont="1" applyBorder="1" applyAlignment="1">
      <alignment horizontal="center"/>
    </xf>
    <xf numFmtId="0" fontId="36" fillId="0" borderId="15" xfId="0" applyFont="1" applyBorder="1" applyAlignment="1">
      <alignment horizontal="center"/>
    </xf>
    <xf numFmtId="166" fontId="35" fillId="0" borderId="28" xfId="2" applyNumberFormat="1" applyFont="1" applyFill="1" applyBorder="1" applyAlignment="1" applyProtection="1">
      <alignment horizontal="center"/>
      <protection locked="0"/>
    </xf>
    <xf numFmtId="166" fontId="35" fillId="0" borderId="8" xfId="2" applyNumberFormat="1" applyFont="1" applyFill="1" applyBorder="1" applyAlignment="1" applyProtection="1">
      <alignment horizontal="center"/>
      <protection locked="0"/>
    </xf>
    <xf numFmtId="166" fontId="35" fillId="0" borderId="9" xfId="2" applyNumberFormat="1" applyFont="1" applyBorder="1" applyAlignment="1">
      <alignment horizontal="center"/>
    </xf>
    <xf numFmtId="0" fontId="45" fillId="0" borderId="0" xfId="0" applyFont="1" applyAlignment="1">
      <alignment horizontal="center"/>
    </xf>
    <xf numFmtId="0" fontId="51" fillId="0" borderId="0" xfId="0" applyFont="1" applyAlignment="1">
      <alignment horizontal="left"/>
    </xf>
    <xf numFmtId="166" fontId="36" fillId="0" borderId="12" xfId="2" applyNumberFormat="1" applyFont="1" applyFill="1" applyBorder="1" applyAlignment="1">
      <alignment horizontal="center"/>
    </xf>
    <xf numFmtId="166" fontId="36" fillId="5" borderId="12" xfId="2" applyNumberFormat="1" applyFont="1" applyFill="1" applyBorder="1" applyAlignment="1">
      <alignment horizontal="center"/>
    </xf>
    <xf numFmtId="167" fontId="36" fillId="0" borderId="15" xfId="0" applyNumberFormat="1" applyFont="1" applyBorder="1" applyAlignment="1">
      <alignment horizontal="center"/>
    </xf>
    <xf numFmtId="166" fontId="36" fillId="0" borderId="15" xfId="2" applyNumberFormat="1" applyFont="1" applyFill="1" applyBorder="1" applyAlignment="1">
      <alignment horizontal="center"/>
    </xf>
    <xf numFmtId="166" fontId="36" fillId="0" borderId="9" xfId="2" applyNumberFormat="1" applyFont="1" applyFill="1" applyBorder="1" applyAlignment="1">
      <alignment horizontal="center"/>
    </xf>
    <xf numFmtId="0" fontId="36" fillId="5" borderId="4" xfId="0" applyFont="1" applyFill="1" applyBorder="1" applyAlignment="1">
      <alignment horizontal="center"/>
    </xf>
    <xf numFmtId="0" fontId="36" fillId="0" borderId="4" xfId="0" applyFont="1" applyBorder="1" applyAlignment="1">
      <alignment horizontal="center"/>
    </xf>
    <xf numFmtId="0" fontId="36" fillId="5" borderId="7" xfId="0" applyFont="1" applyFill="1" applyBorder="1" applyAlignment="1">
      <alignment horizontal="center"/>
    </xf>
    <xf numFmtId="166" fontId="35" fillId="0" borderId="12" xfId="2" applyNumberFormat="1" applyFont="1" applyFill="1" applyBorder="1" applyAlignment="1">
      <alignment horizontal="center"/>
    </xf>
    <xf numFmtId="166" fontId="35" fillId="0" borderId="9" xfId="2" applyNumberFormat="1" applyFont="1" applyFill="1" applyBorder="1" applyAlignment="1">
      <alignment horizontal="center"/>
    </xf>
    <xf numFmtId="0" fontId="36" fillId="0" borderId="0" xfId="0" applyFont="1" applyAlignment="1" applyProtection="1">
      <alignment horizontal="center"/>
      <protection hidden="1"/>
    </xf>
    <xf numFmtId="0" fontId="36" fillId="0" borderId="0" xfId="0" applyFont="1" applyAlignment="1" applyProtection="1">
      <alignment horizontal="center" wrapText="1"/>
      <protection hidden="1"/>
    </xf>
    <xf numFmtId="174" fontId="36" fillId="0" borderId="0" xfId="0" applyNumberFormat="1" applyFont="1" applyAlignment="1" applyProtection="1">
      <alignment horizontal="center"/>
      <protection hidden="1"/>
    </xf>
    <xf numFmtId="37" fontId="36" fillId="0" borderId="0" xfId="0" applyNumberFormat="1" applyFont="1" applyAlignment="1" applyProtection="1">
      <alignment horizontal="center"/>
      <protection hidden="1"/>
    </xf>
    <xf numFmtId="166" fontId="36" fillId="0" borderId="0" xfId="2" applyNumberFormat="1" applyFont="1" applyAlignment="1" applyProtection="1">
      <alignment horizontal="center"/>
      <protection hidden="1"/>
    </xf>
    <xf numFmtId="37" fontId="36" fillId="0" borderId="0" xfId="0" applyNumberFormat="1" applyFont="1" applyAlignment="1">
      <alignment horizontal="center"/>
    </xf>
    <xf numFmtId="0" fontId="36" fillId="0" borderId="0" xfId="0" applyFont="1" applyAlignment="1">
      <alignment horizontal="right"/>
    </xf>
    <xf numFmtId="0" fontId="36" fillId="0" borderId="0" xfId="0" applyFont="1" applyAlignment="1" applyProtection="1">
      <alignment horizontal="right"/>
      <protection hidden="1"/>
    </xf>
    <xf numFmtId="174" fontId="36" fillId="0" borderId="0" xfId="0" applyNumberFormat="1" applyFont="1" applyAlignment="1" applyProtection="1">
      <alignment horizontal="right"/>
      <protection hidden="1"/>
    </xf>
    <xf numFmtId="0" fontId="53" fillId="0" borderId="0" xfId="0" applyFont="1" applyAlignment="1">
      <alignment horizontal="left"/>
    </xf>
    <xf numFmtId="0" fontId="35" fillId="0" borderId="5" xfId="0" applyFont="1" applyBorder="1" applyAlignment="1" applyProtection="1">
      <alignment horizontal="center"/>
      <protection locked="0"/>
    </xf>
    <xf numFmtId="1" fontId="36" fillId="7" borderId="41" xfId="0" applyNumberFormat="1" applyFont="1" applyFill="1" applyBorder="1" applyAlignment="1">
      <alignment horizontal="center" vertical="center"/>
    </xf>
    <xf numFmtId="1" fontId="36" fillId="7" borderId="40" xfId="0" applyNumberFormat="1" applyFont="1" applyFill="1" applyBorder="1" applyAlignment="1">
      <alignment horizontal="center" vertical="center"/>
    </xf>
    <xf numFmtId="0" fontId="36" fillId="7" borderId="40" xfId="0" applyFont="1" applyFill="1" applyBorder="1" applyAlignment="1">
      <alignment horizontal="center" vertical="center"/>
    </xf>
    <xf numFmtId="0" fontId="36" fillId="7" borderId="42" xfId="0" applyFont="1" applyFill="1" applyBorder="1" applyAlignment="1">
      <alignment horizontal="center" vertical="center"/>
    </xf>
    <xf numFmtId="1" fontId="36" fillId="0" borderId="13" xfId="0" applyNumberFormat="1" applyFont="1" applyBorder="1" applyAlignment="1" applyProtection="1">
      <alignment horizontal="center"/>
      <protection hidden="1"/>
    </xf>
    <xf numFmtId="3" fontId="36" fillId="0" borderId="34" xfId="0" applyNumberFormat="1" applyFont="1" applyBorder="1" applyAlignment="1" applyProtection="1">
      <alignment horizontal="center"/>
      <protection locked="0"/>
    </xf>
    <xf numFmtId="3" fontId="36" fillId="0" borderId="11" xfId="0" applyNumberFormat="1" applyFont="1" applyBorder="1" applyAlignment="1" applyProtection="1">
      <alignment horizontal="center"/>
      <protection locked="0"/>
    </xf>
    <xf numFmtId="3" fontId="36" fillId="0" borderId="3" xfId="0" applyNumberFormat="1" applyFont="1" applyBorder="1" applyAlignment="1" applyProtection="1">
      <alignment horizontal="center"/>
      <protection locked="0"/>
    </xf>
    <xf numFmtId="1" fontId="36" fillId="5" borderId="13" xfId="0" applyNumberFormat="1" applyFont="1" applyFill="1" applyBorder="1" applyAlignment="1" applyProtection="1">
      <alignment horizontal="center"/>
      <protection hidden="1"/>
    </xf>
    <xf numFmtId="3" fontId="36" fillId="5" borderId="27" xfId="0" applyNumberFormat="1" applyFont="1" applyFill="1" applyBorder="1" applyAlignment="1" applyProtection="1">
      <alignment horizontal="center"/>
      <protection locked="0"/>
    </xf>
    <xf numFmtId="3" fontId="36" fillId="5" borderId="5" xfId="0" applyNumberFormat="1" applyFont="1" applyFill="1" applyBorder="1" applyAlignment="1" applyProtection="1">
      <alignment horizontal="center"/>
      <protection locked="0"/>
    </xf>
    <xf numFmtId="0" fontId="36" fillId="6" borderId="46" xfId="0" applyFont="1" applyFill="1" applyBorder="1" applyAlignment="1" applyProtection="1">
      <alignment horizontal="center"/>
      <protection locked="0"/>
    </xf>
    <xf numFmtId="3" fontId="36" fillId="0" borderId="27" xfId="0" applyNumberFormat="1" applyFont="1" applyBorder="1" applyAlignment="1" applyProtection="1">
      <alignment horizontal="center"/>
      <protection locked="0"/>
    </xf>
    <xf numFmtId="3" fontId="36" fillId="0" borderId="5" xfId="0" applyNumberFormat="1" applyFont="1" applyBorder="1" applyAlignment="1" applyProtection="1">
      <alignment horizontal="center"/>
      <protection locked="0"/>
    </xf>
    <xf numFmtId="0" fontId="36" fillId="6" borderId="0" xfId="0" applyFont="1" applyFill="1" applyAlignment="1" applyProtection="1">
      <alignment horizontal="center"/>
      <protection locked="0"/>
    </xf>
    <xf numFmtId="1" fontId="36" fillId="5" borderId="15" xfId="0" applyNumberFormat="1" applyFont="1" applyFill="1" applyBorder="1" applyAlignment="1" applyProtection="1">
      <alignment horizontal="center"/>
      <protection hidden="1"/>
    </xf>
    <xf numFmtId="3" fontId="36" fillId="5" borderId="7" xfId="0" applyNumberFormat="1" applyFont="1" applyFill="1" applyBorder="1" applyAlignment="1" applyProtection="1">
      <alignment horizontal="center"/>
      <protection locked="0"/>
    </xf>
    <xf numFmtId="0" fontId="36" fillId="6" borderId="1" xfId="0" applyFont="1" applyFill="1" applyBorder="1" applyAlignment="1" applyProtection="1">
      <alignment horizontal="center"/>
      <protection locked="0"/>
    </xf>
    <xf numFmtId="0" fontId="36" fillId="6" borderId="45" xfId="0" applyFont="1" applyFill="1" applyBorder="1" applyAlignment="1" applyProtection="1">
      <alignment horizontal="center"/>
      <protection locked="0"/>
    </xf>
    <xf numFmtId="0" fontId="36" fillId="0" borderId="19" xfId="0" applyFont="1" applyBorder="1" applyAlignment="1">
      <alignment vertical="top"/>
    </xf>
    <xf numFmtId="0" fontId="36" fillId="0" borderId="0" xfId="0" applyFont="1" applyAlignment="1">
      <alignment vertical="top"/>
    </xf>
    <xf numFmtId="0" fontId="36" fillId="0" borderId="46" xfId="0" applyFont="1" applyBorder="1" applyAlignment="1">
      <alignment vertical="top"/>
    </xf>
    <xf numFmtId="0" fontId="36" fillId="7" borderId="43" xfId="0" quotePrefix="1" applyFont="1" applyFill="1" applyBorder="1" applyAlignment="1">
      <alignment horizontal="center" vertical="center"/>
    </xf>
    <xf numFmtId="0" fontId="36" fillId="7" borderId="40" xfId="0" quotePrefix="1" applyFont="1" applyFill="1" applyBorder="1" applyAlignment="1">
      <alignment horizontal="center" vertical="center"/>
    </xf>
    <xf numFmtId="0" fontId="36" fillId="7" borderId="42" xfId="0" quotePrefix="1" applyFont="1" applyFill="1" applyBorder="1" applyAlignment="1">
      <alignment horizontal="center" vertical="center"/>
    </xf>
    <xf numFmtId="164" fontId="36" fillId="0" borderId="34" xfId="0" applyNumberFormat="1" applyFont="1" applyBorder="1" applyAlignment="1">
      <alignment horizontal="center"/>
    </xf>
    <xf numFmtId="164" fontId="36" fillId="0" borderId="3" xfId="0" applyNumberFormat="1" applyFont="1" applyBorder="1" applyAlignment="1">
      <alignment horizontal="center"/>
    </xf>
    <xf numFmtId="164" fontId="36" fillId="5" borderId="34" xfId="0" applyNumberFormat="1" applyFont="1" applyFill="1" applyBorder="1" applyAlignment="1">
      <alignment horizontal="center"/>
    </xf>
    <xf numFmtId="164" fontId="36" fillId="6" borderId="46" xfId="0" applyNumberFormat="1" applyFont="1" applyFill="1" applyBorder="1" applyAlignment="1">
      <alignment horizontal="center"/>
    </xf>
    <xf numFmtId="164" fontId="36" fillId="6" borderId="0" xfId="0" applyNumberFormat="1" applyFont="1" applyFill="1" applyAlignment="1">
      <alignment horizontal="center"/>
    </xf>
    <xf numFmtId="0" fontId="36" fillId="6" borderId="1" xfId="0" applyFont="1" applyFill="1" applyBorder="1" applyAlignment="1">
      <alignment horizontal="center"/>
    </xf>
    <xf numFmtId="0" fontId="36" fillId="6" borderId="45" xfId="0" applyFont="1" applyFill="1" applyBorder="1" applyAlignment="1">
      <alignment horizontal="center"/>
    </xf>
    <xf numFmtId="0" fontId="36" fillId="7" borderId="43" xfId="0" quotePrefix="1" applyFont="1" applyFill="1" applyBorder="1" applyAlignment="1">
      <alignment horizontal="center"/>
    </xf>
    <xf numFmtId="0" fontId="36" fillId="7" borderId="40" xfId="0" quotePrefix="1" applyFont="1" applyFill="1" applyBorder="1" applyAlignment="1">
      <alignment horizontal="center"/>
    </xf>
    <xf numFmtId="0" fontId="36" fillId="7" borderId="42" xfId="0" quotePrefix="1" applyFont="1" applyFill="1" applyBorder="1" applyAlignment="1">
      <alignment horizontal="center"/>
    </xf>
    <xf numFmtId="164" fontId="36" fillId="0" borderId="11" xfId="0" applyNumberFormat="1" applyFont="1" applyBorder="1" applyAlignment="1">
      <alignment horizontal="center"/>
    </xf>
    <xf numFmtId="164" fontId="36" fillId="0" borderId="58" xfId="0" applyNumberFormat="1" applyFont="1" applyBorder="1" applyAlignment="1">
      <alignment horizontal="center"/>
    </xf>
    <xf numFmtId="164" fontId="36" fillId="5" borderId="27" xfId="0" applyNumberFormat="1" applyFont="1" applyFill="1" applyBorder="1" applyAlignment="1">
      <alignment horizontal="center"/>
    </xf>
    <xf numFmtId="164" fontId="36" fillId="5" borderId="5" xfId="0" applyNumberFormat="1" applyFont="1" applyFill="1" applyBorder="1" applyAlignment="1">
      <alignment horizontal="center"/>
    </xf>
    <xf numFmtId="0" fontId="36" fillId="6" borderId="0" xfId="0" applyFont="1" applyFill="1" applyAlignment="1">
      <alignment horizontal="center"/>
    </xf>
    <xf numFmtId="0" fontId="36" fillId="6" borderId="46" xfId="0" applyFont="1" applyFill="1" applyBorder="1" applyAlignment="1">
      <alignment horizontal="center"/>
    </xf>
    <xf numFmtId="164" fontId="36" fillId="0" borderId="5" xfId="0" applyNumberFormat="1" applyFont="1" applyBorder="1" applyAlignment="1">
      <alignment horizontal="center"/>
    </xf>
    <xf numFmtId="164" fontId="36" fillId="5" borderId="69" xfId="0" applyNumberFormat="1" applyFont="1" applyFill="1" applyBorder="1" applyAlignment="1">
      <alignment horizontal="center"/>
    </xf>
    <xf numFmtId="164" fontId="36" fillId="5" borderId="71" xfId="0" applyNumberFormat="1" applyFont="1" applyFill="1" applyBorder="1" applyAlignment="1">
      <alignment horizontal="center"/>
    </xf>
    <xf numFmtId="164" fontId="36" fillId="5" borderId="70" xfId="0" applyNumberFormat="1" applyFont="1" applyFill="1" applyBorder="1" applyAlignment="1">
      <alignment horizontal="center"/>
    </xf>
    <xf numFmtId="164" fontId="36" fillId="0" borderId="7" xfId="0" applyNumberFormat="1" applyFont="1" applyBorder="1" applyAlignment="1">
      <alignment horizontal="center"/>
    </xf>
    <xf numFmtId="164" fontId="36" fillId="0" borderId="8" xfId="0" applyNumberFormat="1" applyFont="1" applyBorder="1" applyAlignment="1">
      <alignment horizontal="center"/>
    </xf>
    <xf numFmtId="164" fontId="36" fillId="0" borderId="9" xfId="0" applyNumberFormat="1" applyFont="1" applyBorder="1" applyAlignment="1">
      <alignment horizontal="center"/>
    </xf>
    <xf numFmtId="0" fontId="36" fillId="4" borderId="41" xfId="0" quotePrefix="1" applyFont="1" applyFill="1" applyBorder="1" applyAlignment="1">
      <alignment horizontal="center"/>
    </xf>
    <xf numFmtId="0" fontId="36" fillId="4" borderId="40" xfId="0" quotePrefix="1" applyFont="1" applyFill="1" applyBorder="1" applyAlignment="1">
      <alignment horizontal="center"/>
    </xf>
    <xf numFmtId="0" fontId="36" fillId="4" borderId="42" xfId="0" quotePrefix="1" applyFont="1" applyFill="1" applyBorder="1" applyAlignment="1">
      <alignment horizontal="center"/>
    </xf>
    <xf numFmtId="1" fontId="36" fillId="0" borderId="0" xfId="0" applyNumberFormat="1" applyFont="1" applyAlignment="1">
      <alignment horizontal="right"/>
    </xf>
    <xf numFmtId="164" fontId="36" fillId="0" borderId="51" xfId="0" applyNumberFormat="1" applyFont="1" applyBorder="1" applyAlignment="1" applyProtection="1">
      <alignment horizontal="center"/>
      <protection locked="0"/>
    </xf>
    <xf numFmtId="164" fontId="36" fillId="0" borderId="16" xfId="0" applyNumberFormat="1" applyFont="1" applyBorder="1" applyAlignment="1" applyProtection="1">
      <alignment horizontal="center"/>
      <protection locked="0"/>
    </xf>
    <xf numFmtId="164" fontId="36" fillId="0" borderId="17" xfId="0" applyNumberFormat="1" applyFont="1" applyBorder="1" applyAlignment="1" applyProtection="1">
      <alignment horizontal="center"/>
      <protection locked="0"/>
    </xf>
    <xf numFmtId="164" fontId="36" fillId="0" borderId="15" xfId="0" applyNumberFormat="1" applyFont="1" applyBorder="1" applyAlignment="1" applyProtection="1">
      <alignment horizontal="center"/>
      <protection locked="0"/>
    </xf>
    <xf numFmtId="164" fontId="36" fillId="0" borderId="0" xfId="0" applyNumberFormat="1" applyFont="1" applyAlignment="1">
      <alignment horizontal="center"/>
    </xf>
    <xf numFmtId="164" fontId="35" fillId="0" borderId="0" xfId="0" applyNumberFormat="1" applyFont="1" applyAlignment="1" applyProtection="1">
      <alignment horizontal="center"/>
      <protection locked="0"/>
    </xf>
    <xf numFmtId="0" fontId="36" fillId="4" borderId="41" xfId="0" applyFont="1" applyFill="1" applyBorder="1" applyAlignment="1">
      <alignment horizontal="center" vertical="center"/>
    </xf>
    <xf numFmtId="0" fontId="36" fillId="4" borderId="40" xfId="0" applyFont="1" applyFill="1" applyBorder="1" applyAlignment="1">
      <alignment horizontal="center" vertical="center"/>
    </xf>
    <xf numFmtId="0" fontId="36" fillId="4" borderId="42" xfId="0" applyFont="1" applyFill="1" applyBorder="1" applyAlignment="1">
      <alignment horizontal="center" vertical="center"/>
    </xf>
    <xf numFmtId="164" fontId="35" fillId="0" borderId="41" xfId="0" applyNumberFormat="1" applyFont="1" applyBorder="1" applyAlignment="1">
      <alignment horizontal="center"/>
    </xf>
    <xf numFmtId="164" fontId="35" fillId="0" borderId="40" xfId="0" applyNumberFormat="1" applyFont="1" applyBorder="1" applyAlignment="1">
      <alignment horizontal="center"/>
    </xf>
    <xf numFmtId="164" fontId="35" fillId="0" borderId="42" xfId="0" applyNumberFormat="1" applyFont="1" applyBorder="1" applyAlignment="1">
      <alignment horizontal="center"/>
    </xf>
    <xf numFmtId="0" fontId="36" fillId="0" borderId="13" xfId="0" applyFont="1" applyBorder="1" applyAlignment="1" applyProtection="1">
      <alignment horizontal="center"/>
      <protection locked="0"/>
    </xf>
    <xf numFmtId="0" fontId="36" fillId="5" borderId="13" xfId="0" applyFont="1" applyFill="1" applyBorder="1" applyAlignment="1" applyProtection="1">
      <alignment horizontal="center"/>
      <protection locked="0"/>
    </xf>
    <xf numFmtId="5" fontId="41" fillId="5" borderId="27" xfId="1" applyNumberFormat="1" applyFont="1" applyFill="1" applyBorder="1" applyAlignment="1" applyProtection="1">
      <alignment horizontal="center"/>
      <protection locked="0"/>
    </xf>
    <xf numFmtId="5" fontId="41" fillId="5" borderId="38" xfId="1" applyNumberFormat="1" applyFont="1" applyFill="1" applyBorder="1" applyAlignment="1" applyProtection="1">
      <alignment horizontal="center"/>
      <protection locked="0"/>
    </xf>
    <xf numFmtId="5" fontId="36" fillId="0" borderId="27" xfId="1" applyNumberFormat="1" applyFont="1" applyBorder="1" applyAlignment="1" applyProtection="1">
      <alignment horizontal="center"/>
      <protection locked="0"/>
    </xf>
    <xf numFmtId="5" fontId="36" fillId="0" borderId="38" xfId="1" applyNumberFormat="1" applyFont="1" applyBorder="1" applyAlignment="1" applyProtection="1">
      <alignment horizontal="center"/>
      <protection locked="0"/>
    </xf>
    <xf numFmtId="166" fontId="36" fillId="0" borderId="13" xfId="2" applyNumberFormat="1" applyFont="1" applyBorder="1" applyAlignment="1">
      <alignment horizontal="center"/>
    </xf>
    <xf numFmtId="0" fontId="41" fillId="5" borderId="67" xfId="0" applyFont="1" applyFill="1" applyBorder="1" applyAlignment="1" applyProtection="1">
      <alignment horizontal="center"/>
      <protection locked="0"/>
    </xf>
    <xf numFmtId="5" fontId="41" fillId="5" borderId="71" xfId="1" applyNumberFormat="1" applyFont="1" applyFill="1" applyBorder="1" applyAlignment="1" applyProtection="1">
      <alignment horizontal="center"/>
      <protection locked="0"/>
    </xf>
    <xf numFmtId="5" fontId="41" fillId="5" borderId="74" xfId="1" applyNumberFormat="1" applyFont="1" applyFill="1" applyBorder="1" applyAlignment="1" applyProtection="1">
      <alignment horizontal="center"/>
      <protection locked="0"/>
    </xf>
    <xf numFmtId="166" fontId="36" fillId="5" borderId="67" xfId="2" applyNumberFormat="1" applyFont="1" applyFill="1" applyBorder="1" applyAlignment="1">
      <alignment horizontal="center"/>
    </xf>
    <xf numFmtId="5" fontId="36" fillId="0" borderId="41" xfId="0" applyNumberFormat="1" applyFont="1" applyBorder="1" applyAlignment="1">
      <alignment horizontal="center"/>
    </xf>
    <xf numFmtId="5" fontId="36" fillId="0" borderId="42" xfId="0" applyNumberFormat="1" applyFont="1" applyBorder="1" applyAlignment="1">
      <alignment horizontal="center"/>
    </xf>
    <xf numFmtId="166" fontId="36" fillId="0" borderId="2" xfId="2" applyNumberFormat="1" applyFont="1" applyFill="1" applyBorder="1" applyAlignment="1">
      <alignment horizontal="center"/>
    </xf>
    <xf numFmtId="166" fontId="36" fillId="0" borderId="5" xfId="2" applyNumberFormat="1" applyFont="1" applyBorder="1" applyAlignment="1">
      <alignment horizontal="center"/>
    </xf>
    <xf numFmtId="166" fontId="36" fillId="0" borderId="6" xfId="2" applyNumberFormat="1" applyFont="1" applyBorder="1" applyAlignment="1">
      <alignment horizontal="center"/>
    </xf>
    <xf numFmtId="166" fontId="36" fillId="0" borderId="8" xfId="2" applyNumberFormat="1" applyFont="1" applyBorder="1" applyAlignment="1">
      <alignment horizontal="center"/>
    </xf>
    <xf numFmtId="166" fontId="36" fillId="0" borderId="9" xfId="2" applyNumberFormat="1" applyFont="1" applyBorder="1" applyAlignment="1">
      <alignment horizontal="center"/>
    </xf>
    <xf numFmtId="168" fontId="36" fillId="0" borderId="0" xfId="0" quotePrefix="1" applyNumberFormat="1" applyFont="1"/>
    <xf numFmtId="166" fontId="35" fillId="0" borderId="3" xfId="2" applyNumberFormat="1" applyFont="1" applyBorder="1" applyAlignment="1" applyProtection="1">
      <alignment horizontal="center"/>
      <protection locked="0"/>
    </xf>
    <xf numFmtId="0" fontId="36" fillId="0" borderId="0" xfId="0" applyFont="1" applyAlignment="1" applyProtection="1">
      <alignment vertical="top" wrapText="1"/>
      <protection locked="0"/>
    </xf>
    <xf numFmtId="0" fontId="36" fillId="0" borderId="24" xfId="0" applyFont="1" applyBorder="1" applyAlignment="1" applyProtection="1">
      <alignment vertical="top" wrapText="1"/>
      <protection locked="0"/>
    </xf>
    <xf numFmtId="0" fontId="35" fillId="0" borderId="25" xfId="0" applyFont="1" applyBorder="1" applyAlignment="1">
      <alignment vertical="top" wrapText="1"/>
    </xf>
    <xf numFmtId="0" fontId="35" fillId="0" borderId="37" xfId="0" applyFont="1" applyBorder="1" applyAlignment="1">
      <alignment vertical="top" wrapText="1"/>
    </xf>
    <xf numFmtId="0" fontId="36" fillId="0" borderId="54" xfId="0" applyFont="1" applyBorder="1" applyAlignment="1" applyProtection="1">
      <alignment vertical="top" wrapText="1"/>
      <protection locked="0"/>
    </xf>
    <xf numFmtId="0" fontId="36" fillId="0" borderId="1" xfId="0" applyFont="1" applyBorder="1" applyAlignment="1">
      <alignment vertical="top" wrapText="1"/>
    </xf>
    <xf numFmtId="0" fontId="35" fillId="0" borderId="1" xfId="0" applyFont="1" applyBorder="1" applyAlignment="1">
      <alignment vertical="top" wrapText="1"/>
    </xf>
    <xf numFmtId="0" fontId="35" fillId="0" borderId="45" xfId="0" applyFont="1" applyBorder="1" applyAlignment="1">
      <alignment vertical="top" wrapText="1"/>
    </xf>
    <xf numFmtId="168" fontId="36" fillId="0" borderId="0" xfId="0" quotePrefix="1" applyNumberFormat="1" applyFont="1" applyAlignment="1">
      <alignment horizontal="right"/>
    </xf>
    <xf numFmtId="168" fontId="36" fillId="0" borderId="0" xfId="0" applyNumberFormat="1" applyFont="1" applyAlignment="1">
      <alignment vertical="top"/>
    </xf>
    <xf numFmtId="168" fontId="36" fillId="0" borderId="0" xfId="0" quotePrefix="1" applyNumberFormat="1" applyFont="1" applyAlignment="1">
      <alignment vertical="center"/>
    </xf>
    <xf numFmtId="169" fontId="41" fillId="9" borderId="88" xfId="0" applyNumberFormat="1" applyFont="1" applyFill="1" applyBorder="1" applyAlignment="1">
      <alignment vertical="center" wrapText="1"/>
    </xf>
    <xf numFmtId="166" fontId="41" fillId="0" borderId="23" xfId="0" applyNumberFormat="1" applyFont="1" applyBorder="1" applyAlignment="1">
      <alignment vertical="center"/>
    </xf>
    <xf numFmtId="169" fontId="41" fillId="9" borderId="89" xfId="0" applyNumberFormat="1" applyFont="1" applyFill="1" applyBorder="1" applyAlignment="1" applyProtection="1">
      <alignment vertical="center"/>
      <protection locked="0"/>
    </xf>
    <xf numFmtId="166" fontId="41" fillId="0" borderId="25" xfId="0" applyNumberFormat="1" applyFont="1" applyBorder="1" applyAlignment="1" applyProtection="1">
      <alignment vertical="center"/>
      <protection locked="0"/>
    </xf>
    <xf numFmtId="0" fontId="41" fillId="7" borderId="90" xfId="0" applyFont="1" applyFill="1" applyBorder="1" applyAlignment="1">
      <alignment vertical="center"/>
    </xf>
    <xf numFmtId="169" fontId="41" fillId="9" borderId="89" xfId="0" applyNumberFormat="1" applyFont="1" applyFill="1" applyBorder="1" applyAlignment="1">
      <alignment vertical="center"/>
    </xf>
    <xf numFmtId="169" fontId="41" fillId="9" borderId="91" xfId="0" applyNumberFormat="1" applyFont="1" applyFill="1" applyBorder="1" applyAlignment="1" applyProtection="1">
      <alignment vertical="center" wrapText="1"/>
      <protection locked="0"/>
    </xf>
    <xf numFmtId="169" fontId="41" fillId="9" borderId="91" xfId="0" applyNumberFormat="1" applyFont="1" applyFill="1" applyBorder="1" applyAlignment="1" applyProtection="1">
      <alignment vertical="center"/>
      <protection locked="0"/>
    </xf>
    <xf numFmtId="166" fontId="41" fillId="0" borderId="23" xfId="0" applyNumberFormat="1" applyFont="1" applyBorder="1" applyAlignment="1" applyProtection="1">
      <alignment vertical="center"/>
      <protection locked="0"/>
    </xf>
    <xf numFmtId="169" fontId="36" fillId="9" borderId="89" xfId="0" applyNumberFormat="1" applyFont="1" applyFill="1" applyBorder="1" applyAlignment="1" applyProtection="1">
      <alignment vertical="center"/>
      <protection locked="0"/>
    </xf>
    <xf numFmtId="1" fontId="38" fillId="3" borderId="92" xfId="0" applyNumberFormat="1" applyFont="1" applyFill="1" applyBorder="1" applyAlignment="1">
      <alignment vertical="center"/>
    </xf>
    <xf numFmtId="0" fontId="41" fillId="7" borderId="45" xfId="0" applyFont="1" applyFill="1" applyBorder="1"/>
    <xf numFmtId="169" fontId="41" fillId="9" borderId="35" xfId="0" applyNumberFormat="1" applyFont="1" applyFill="1" applyBorder="1" applyAlignment="1">
      <alignment vertical="center" wrapText="1"/>
    </xf>
    <xf numFmtId="166" fontId="41" fillId="0" borderId="6" xfId="0" applyNumberFormat="1" applyFont="1" applyBorder="1" applyAlignment="1">
      <alignment vertical="center"/>
    </xf>
    <xf numFmtId="169" fontId="41" fillId="9" borderId="35" xfId="0" applyNumberFormat="1" applyFont="1" applyFill="1" applyBorder="1" applyAlignment="1" applyProtection="1">
      <alignment vertical="center"/>
      <protection locked="0"/>
    </xf>
    <xf numFmtId="0" fontId="41" fillId="7" borderId="33" xfId="0" applyFont="1" applyFill="1" applyBorder="1" applyAlignment="1">
      <alignment vertical="center"/>
    </xf>
    <xf numFmtId="169" fontId="41" fillId="9" borderId="35" xfId="0" applyNumberFormat="1" applyFont="1" applyFill="1" applyBorder="1" applyAlignment="1">
      <alignment vertical="center"/>
    </xf>
    <xf numFmtId="169" fontId="41" fillId="9" borderId="36" xfId="0" applyNumberFormat="1" applyFont="1" applyFill="1" applyBorder="1" applyAlignment="1" applyProtection="1">
      <alignment vertical="center" wrapText="1"/>
      <protection locked="0"/>
    </xf>
    <xf numFmtId="169" fontId="41" fillId="9" borderId="36" xfId="0" applyNumberFormat="1" applyFont="1" applyFill="1" applyBorder="1" applyAlignment="1" applyProtection="1">
      <alignment vertical="center"/>
      <protection locked="0"/>
    </xf>
    <xf numFmtId="166" fontId="36" fillId="0" borderId="36" xfId="0" applyNumberFormat="1" applyFont="1" applyBorder="1" applyAlignment="1">
      <alignment vertical="center"/>
    </xf>
    <xf numFmtId="169" fontId="36" fillId="9" borderId="35" xfId="0" applyNumberFormat="1" applyFont="1" applyFill="1" applyBorder="1" applyAlignment="1" applyProtection="1">
      <alignment vertical="center"/>
      <protection locked="0"/>
    </xf>
    <xf numFmtId="166" fontId="41" fillId="0" borderId="93" xfId="0" applyNumberFormat="1" applyFont="1" applyBorder="1" applyAlignment="1">
      <alignment vertical="center"/>
    </xf>
    <xf numFmtId="0" fontId="55" fillId="0" borderId="0" xfId="0" applyFont="1"/>
    <xf numFmtId="4" fontId="36" fillId="5" borderId="5" xfId="0" applyNumberFormat="1" applyFont="1" applyFill="1" applyBorder="1" applyAlignment="1">
      <alignment horizontal="center" vertical="center"/>
    </xf>
    <xf numFmtId="4" fontId="36" fillId="0" borderId="5" xfId="0" applyNumberFormat="1" applyFont="1" applyBorder="1" applyAlignment="1">
      <alignment horizontal="center" vertical="center"/>
    </xf>
    <xf numFmtId="0" fontId="36" fillId="0" borderId="51" xfId="0" applyFont="1" applyBorder="1" applyAlignment="1">
      <alignment horizontal="center"/>
    </xf>
    <xf numFmtId="166" fontId="36" fillId="0" borderId="3" xfId="2" applyNumberFormat="1" applyFont="1" applyBorder="1" applyAlignment="1">
      <alignment horizontal="center"/>
    </xf>
    <xf numFmtId="0" fontId="36" fillId="0" borderId="25" xfId="0" applyFont="1" applyBorder="1"/>
    <xf numFmtId="0" fontId="36" fillId="0" borderId="37" xfId="0" applyFont="1" applyBorder="1"/>
    <xf numFmtId="168" fontId="36" fillId="0" borderId="0" xfId="0" quotePrefix="1" applyNumberFormat="1" applyFont="1" applyAlignment="1">
      <alignment vertical="top"/>
    </xf>
    <xf numFmtId="1" fontId="36" fillId="0" borderId="50" xfId="0" applyNumberFormat="1" applyFont="1" applyBorder="1" applyAlignment="1">
      <alignment horizontal="center" vertical="center"/>
    </xf>
    <xf numFmtId="169" fontId="36" fillId="0" borderId="14" xfId="0" applyNumberFormat="1" applyFont="1" applyBorder="1" applyAlignment="1">
      <alignment horizontal="center" vertical="center"/>
    </xf>
    <xf numFmtId="169" fontId="36" fillId="0" borderId="13" xfId="0" applyNumberFormat="1" applyFont="1" applyBorder="1" applyAlignment="1">
      <alignment horizontal="center" vertical="center"/>
    </xf>
    <xf numFmtId="169" fontId="36" fillId="0" borderId="15" xfId="0" applyNumberFormat="1" applyFont="1" applyBorder="1" applyAlignment="1">
      <alignment horizontal="center" vertical="center"/>
    </xf>
    <xf numFmtId="167" fontId="36" fillId="0" borderId="2" xfId="0" applyNumberFormat="1" applyFont="1" applyBorder="1" applyAlignment="1">
      <alignment horizontal="center" vertical="center"/>
    </xf>
    <xf numFmtId="169" fontId="36" fillId="0" borderId="2" xfId="0" applyNumberFormat="1" applyFont="1" applyBorder="1" applyAlignment="1">
      <alignment horizontal="center" vertical="center"/>
    </xf>
    <xf numFmtId="169" fontId="36" fillId="0" borderId="41" xfId="0" applyNumberFormat="1" applyFont="1" applyBorder="1" applyAlignment="1">
      <alignment horizontal="center" vertical="center"/>
    </xf>
    <xf numFmtId="166" fontId="36" fillId="0" borderId="42" xfId="2" applyNumberFormat="1" applyFont="1" applyBorder="1" applyAlignment="1">
      <alignment horizontal="center"/>
    </xf>
    <xf numFmtId="169" fontId="36" fillId="0" borderId="50" xfId="0" applyNumberFormat="1" applyFont="1" applyBorder="1" applyAlignment="1">
      <alignment horizontal="center" vertical="center"/>
    </xf>
    <xf numFmtId="169" fontId="36" fillId="0" borderId="51" xfId="2" applyNumberFormat="1" applyFont="1" applyFill="1" applyBorder="1" applyAlignment="1">
      <alignment horizontal="center" vertical="center"/>
    </xf>
    <xf numFmtId="169" fontId="36" fillId="0" borderId="10" xfId="2" applyNumberFormat="1" applyFont="1" applyFill="1" applyBorder="1" applyAlignment="1">
      <alignment horizontal="center" vertical="center"/>
    </xf>
    <xf numFmtId="169" fontId="36" fillId="0" borderId="7" xfId="2" applyNumberFormat="1" applyFont="1" applyFill="1" applyBorder="1" applyAlignment="1">
      <alignment horizontal="center" vertical="center"/>
    </xf>
    <xf numFmtId="166" fontId="35" fillId="0" borderId="3" xfId="2" applyNumberFormat="1" applyFont="1" applyBorder="1" applyAlignment="1" applyProtection="1">
      <alignment horizontal="center" vertical="center"/>
      <protection locked="0"/>
    </xf>
    <xf numFmtId="166" fontId="35" fillId="0" borderId="9" xfId="2" applyNumberFormat="1" applyFont="1" applyBorder="1" applyAlignment="1" applyProtection="1">
      <alignment horizontal="center" vertical="center"/>
      <protection locked="0"/>
    </xf>
    <xf numFmtId="0" fontId="35" fillId="0" borderId="0" xfId="0" applyFont="1" applyAlignment="1">
      <alignment wrapText="1"/>
    </xf>
    <xf numFmtId="169" fontId="36" fillId="0" borderId="3" xfId="0" applyNumberFormat="1" applyFont="1" applyBorder="1" applyAlignment="1" applyProtection="1">
      <alignment horizontal="center"/>
      <protection locked="0"/>
    </xf>
    <xf numFmtId="169" fontId="36" fillId="5" borderId="6" xfId="0" applyNumberFormat="1" applyFont="1" applyFill="1" applyBorder="1" applyAlignment="1" applyProtection="1">
      <alignment horizontal="center"/>
      <protection locked="0"/>
    </xf>
    <xf numFmtId="169" fontId="36" fillId="0" borderId="6" xfId="0" applyNumberFormat="1" applyFont="1" applyBorder="1" applyAlignment="1" applyProtection="1">
      <alignment horizontal="center"/>
      <protection locked="0"/>
    </xf>
    <xf numFmtId="169" fontId="36" fillId="5" borderId="6" xfId="0" applyNumberFormat="1" applyFont="1" applyFill="1" applyBorder="1" applyAlignment="1">
      <alignment horizontal="center"/>
    </xf>
    <xf numFmtId="0" fontId="48" fillId="0" borderId="0" xfId="0" applyFont="1" applyProtection="1">
      <protection hidden="1"/>
    </xf>
    <xf numFmtId="169" fontId="36" fillId="0" borderId="6" xfId="0" applyNumberFormat="1" applyFont="1" applyBorder="1" applyAlignment="1">
      <alignment horizontal="center"/>
    </xf>
    <xf numFmtId="166" fontId="36" fillId="0" borderId="9" xfId="2" applyNumberFormat="1" applyFont="1" applyFill="1" applyBorder="1" applyAlignment="1" applyProtection="1">
      <alignment horizontal="center"/>
      <protection locked="0"/>
    </xf>
    <xf numFmtId="0" fontId="35" fillId="0" borderId="25" xfId="0" applyFont="1" applyBorder="1" applyAlignment="1">
      <alignment horizontal="left"/>
    </xf>
    <xf numFmtId="0" fontId="36" fillId="0" borderId="37" xfId="0" applyFont="1" applyBorder="1" applyAlignment="1" applyProtection="1">
      <alignment horizontal="center"/>
      <protection locked="0"/>
    </xf>
    <xf numFmtId="168" fontId="36" fillId="0" borderId="0" xfId="0" applyNumberFormat="1" applyFont="1" applyAlignment="1">
      <alignment horizontal="left" vertical="top"/>
    </xf>
    <xf numFmtId="168" fontId="36" fillId="0" borderId="0" xfId="0" applyNumberFormat="1" applyFont="1" applyAlignment="1">
      <alignment horizontal="right" vertical="top"/>
    </xf>
    <xf numFmtId="175" fontId="36" fillId="0" borderId="0" xfId="0" applyNumberFormat="1" applyFont="1"/>
    <xf numFmtId="166" fontId="35" fillId="0" borderId="50" xfId="2" applyNumberFormat="1" applyFont="1" applyBorder="1" applyAlignment="1" applyProtection="1">
      <alignment horizontal="center"/>
      <protection locked="0"/>
    </xf>
    <xf numFmtId="166" fontId="35" fillId="0" borderId="67" xfId="2" applyNumberFormat="1" applyFont="1" applyBorder="1" applyAlignment="1" applyProtection="1">
      <alignment horizontal="center"/>
      <protection locked="0"/>
    </xf>
    <xf numFmtId="0" fontId="39" fillId="0" borderId="19" xfId="0" applyFont="1" applyBorder="1" applyAlignment="1" applyProtection="1">
      <alignment horizontal="center"/>
      <protection locked="0"/>
    </xf>
    <xf numFmtId="0" fontId="35" fillId="0" borderId="1" xfId="0" applyFont="1" applyBorder="1" applyAlignment="1">
      <alignment horizontal="left" vertical="top" wrapText="1"/>
    </xf>
    <xf numFmtId="0" fontId="35" fillId="0" borderId="45" xfId="0" applyFont="1" applyBorder="1" applyAlignment="1">
      <alignment horizontal="left" vertical="top" wrapText="1"/>
    </xf>
    <xf numFmtId="0" fontId="36" fillId="0" borderId="53" xfId="0" applyFont="1" applyBorder="1"/>
    <xf numFmtId="0" fontId="36" fillId="0" borderId="0" xfId="0" quotePrefix="1" applyFont="1" applyAlignment="1">
      <alignment horizontal="left" vertical="center"/>
    </xf>
    <xf numFmtId="166" fontId="36" fillId="0" borderId="58" xfId="2" applyNumberFormat="1" applyFont="1" applyFill="1" applyBorder="1" applyAlignment="1" applyProtection="1">
      <alignment horizontal="center"/>
      <protection locked="0"/>
    </xf>
    <xf numFmtId="164" fontId="36" fillId="5" borderId="36" xfId="2" applyNumberFormat="1" applyFont="1" applyFill="1" applyBorder="1" applyAlignment="1" applyProtection="1">
      <alignment horizontal="center"/>
      <protection locked="0"/>
    </xf>
    <xf numFmtId="166" fontId="36" fillId="0" borderId="36" xfId="2" applyNumberFormat="1" applyFont="1" applyFill="1" applyBorder="1" applyAlignment="1">
      <alignment horizontal="center"/>
    </xf>
    <xf numFmtId="166" fontId="36" fillId="5" borderId="36" xfId="2" applyNumberFormat="1" applyFont="1" applyFill="1" applyBorder="1" applyAlignment="1" applyProtection="1">
      <alignment horizontal="center" vertical="top"/>
      <protection locked="0"/>
    </xf>
    <xf numFmtId="10" fontId="36" fillId="0" borderId="36" xfId="2" applyNumberFormat="1" applyFont="1" applyFill="1" applyBorder="1" applyAlignment="1" applyProtection="1">
      <alignment horizontal="center"/>
      <protection locked="0"/>
    </xf>
    <xf numFmtId="166" fontId="36" fillId="5" borderId="36" xfId="2" applyNumberFormat="1" applyFont="1" applyFill="1" applyBorder="1" applyAlignment="1">
      <alignment horizontal="center"/>
    </xf>
    <xf numFmtId="5" fontId="36" fillId="5" borderId="36" xfId="2" applyNumberFormat="1" applyFont="1" applyFill="1" applyBorder="1" applyAlignment="1" applyProtection="1">
      <alignment horizontal="center"/>
      <protection locked="0"/>
    </xf>
    <xf numFmtId="5" fontId="36" fillId="0" borderId="36" xfId="1" applyNumberFormat="1" applyFont="1" applyFill="1" applyBorder="1" applyAlignment="1" applyProtection="1">
      <alignment horizontal="center"/>
      <protection locked="0"/>
    </xf>
    <xf numFmtId="176" fontId="36" fillId="0" borderId="36" xfId="2" applyNumberFormat="1" applyFont="1" applyFill="1" applyBorder="1" applyAlignment="1">
      <alignment horizontal="center"/>
    </xf>
    <xf numFmtId="176" fontId="36" fillId="5" borderId="36" xfId="2" applyNumberFormat="1" applyFont="1" applyFill="1" applyBorder="1" applyAlignment="1" applyProtection="1">
      <alignment horizontal="center"/>
      <protection locked="0"/>
    </xf>
    <xf numFmtId="166" fontId="36" fillId="0" borderId="36" xfId="2" applyNumberFormat="1" applyFont="1" applyFill="1" applyBorder="1" applyAlignment="1" applyProtection="1">
      <alignment horizontal="center" vertical="top"/>
      <protection locked="0"/>
    </xf>
    <xf numFmtId="166" fontId="36" fillId="0" borderId="36" xfId="2" applyNumberFormat="1" applyFont="1" applyFill="1" applyBorder="1" applyAlignment="1" applyProtection="1">
      <alignment horizontal="center"/>
      <protection locked="0"/>
    </xf>
    <xf numFmtId="166" fontId="36" fillId="5" borderId="37" xfId="2" applyNumberFormat="1" applyFont="1" applyFill="1" applyBorder="1" applyAlignment="1">
      <alignment horizontal="center"/>
    </xf>
    <xf numFmtId="0" fontId="38" fillId="3" borderId="2" xfId="0" applyFont="1" applyFill="1" applyBorder="1" applyAlignment="1">
      <alignment horizontal="left" vertical="center" wrapText="1"/>
    </xf>
    <xf numFmtId="0" fontId="41" fillId="0" borderId="0" xfId="0" applyFont="1" applyAlignment="1">
      <alignment horizontal="center" vertical="center" wrapText="1"/>
    </xf>
    <xf numFmtId="0" fontId="41" fillId="0" borderId="0" xfId="0" applyFont="1" applyAlignment="1">
      <alignment horizontal="left" vertical="center"/>
    </xf>
    <xf numFmtId="0" fontId="36" fillId="0" borderId="20" xfId="0" applyFont="1" applyBorder="1" applyAlignment="1" applyProtection="1">
      <alignment horizontal="left" vertical="center"/>
      <protection locked="0"/>
    </xf>
    <xf numFmtId="169" fontId="36" fillId="0" borderId="51" xfId="0" applyNumberFormat="1" applyFont="1" applyBorder="1" applyAlignment="1" applyProtection="1">
      <alignment horizontal="center"/>
      <protection locked="0"/>
    </xf>
    <xf numFmtId="169" fontId="36" fillId="0" borderId="52" xfId="0" applyNumberFormat="1" applyFont="1" applyBorder="1" applyAlignment="1" applyProtection="1">
      <alignment horizontal="center"/>
      <protection locked="0"/>
    </xf>
    <xf numFmtId="0" fontId="36" fillId="0" borderId="52" xfId="0" applyFont="1" applyBorder="1" applyAlignment="1" applyProtection="1">
      <alignment horizontal="center"/>
      <protection locked="0"/>
    </xf>
    <xf numFmtId="0" fontId="36" fillId="0" borderId="3" xfId="0" applyFont="1" applyBorder="1" applyAlignment="1" applyProtection="1">
      <alignment horizontal="center"/>
      <protection locked="0"/>
    </xf>
    <xf numFmtId="0" fontId="36" fillId="5" borderId="22" xfId="0" applyFont="1" applyFill="1" applyBorder="1" applyAlignment="1" applyProtection="1">
      <alignment horizontal="left" vertical="center"/>
      <protection locked="0"/>
    </xf>
    <xf numFmtId="169" fontId="36" fillId="5" borderId="4" xfId="0" applyNumberFormat="1" applyFont="1" applyFill="1" applyBorder="1" applyAlignment="1" applyProtection="1">
      <alignment horizontal="center"/>
      <protection locked="0"/>
    </xf>
    <xf numFmtId="169" fontId="36" fillId="5" borderId="5" xfId="0" applyNumberFormat="1" applyFont="1" applyFill="1" applyBorder="1" applyAlignment="1" applyProtection="1">
      <alignment horizontal="center"/>
      <protection locked="0"/>
    </xf>
    <xf numFmtId="0" fontId="36" fillId="5" borderId="5" xfId="0" applyFont="1" applyFill="1" applyBorder="1" applyAlignment="1" applyProtection="1">
      <alignment horizontal="center"/>
      <protection locked="0"/>
    </xf>
    <xf numFmtId="0" fontId="36" fillId="5" borderId="6" xfId="0" applyFont="1" applyFill="1" applyBorder="1" applyAlignment="1" applyProtection="1">
      <alignment horizontal="center"/>
      <protection locked="0"/>
    </xf>
    <xf numFmtId="0" fontId="36" fillId="0" borderId="22" xfId="0" applyFont="1" applyBorder="1" applyAlignment="1" applyProtection="1">
      <alignment horizontal="left" vertical="center"/>
      <protection locked="0"/>
    </xf>
    <xf numFmtId="169" fontId="36" fillId="0" borderId="4" xfId="0" applyNumberFormat="1" applyFont="1" applyBorder="1" applyAlignment="1" applyProtection="1">
      <alignment horizontal="center"/>
      <protection locked="0"/>
    </xf>
    <xf numFmtId="169" fontId="36" fillId="0" borderId="5" xfId="0" applyNumberFormat="1" applyFont="1" applyBorder="1" applyAlignment="1" applyProtection="1">
      <alignment horizontal="center"/>
      <protection locked="0"/>
    </xf>
    <xf numFmtId="0" fontId="36" fillId="0" borderId="6" xfId="0" applyFont="1" applyBorder="1" applyAlignment="1" applyProtection="1">
      <alignment horizontal="center"/>
      <protection locked="0"/>
    </xf>
    <xf numFmtId="1" fontId="36" fillId="0" borderId="0" xfId="0" applyNumberFormat="1" applyFont="1"/>
    <xf numFmtId="166" fontId="36" fillId="0" borderId="58" xfId="2" applyNumberFormat="1" applyFont="1" applyBorder="1" applyAlignment="1" applyProtection="1">
      <alignment horizontal="center"/>
      <protection locked="0"/>
    </xf>
    <xf numFmtId="0" fontId="35" fillId="0" borderId="49" xfId="0" applyFont="1" applyBorder="1"/>
    <xf numFmtId="0" fontId="36" fillId="0" borderId="46" xfId="0" applyFont="1" applyBorder="1"/>
    <xf numFmtId="166" fontId="36" fillId="0" borderId="3" xfId="2" applyNumberFormat="1" applyFont="1" applyBorder="1" applyAlignment="1" applyProtection="1">
      <alignment horizontal="center"/>
      <protection locked="0"/>
    </xf>
    <xf numFmtId="0" fontId="35" fillId="0" borderId="44" xfId="0" applyFont="1" applyBorder="1"/>
    <xf numFmtId="166" fontId="36" fillId="0" borderId="50" xfId="2" applyNumberFormat="1" applyFont="1" applyBorder="1" applyAlignment="1" applyProtection="1">
      <alignment horizontal="center"/>
      <protection locked="0"/>
    </xf>
    <xf numFmtId="166" fontId="36" fillId="0" borderId="15" xfId="2" applyNumberFormat="1" applyFont="1" applyBorder="1" applyAlignment="1" applyProtection="1">
      <alignment horizontal="center"/>
      <protection locked="0"/>
    </xf>
    <xf numFmtId="0" fontId="38" fillId="3" borderId="2" xfId="0" applyFont="1" applyFill="1" applyBorder="1" applyAlignment="1">
      <alignment vertical="center"/>
    </xf>
    <xf numFmtId="3" fontId="36" fillId="0" borderId="52" xfId="0" applyNumberFormat="1" applyFont="1" applyBorder="1" applyAlignment="1" applyProtection="1">
      <alignment horizontal="center"/>
      <protection locked="0"/>
    </xf>
    <xf numFmtId="166" fontId="36" fillId="0" borderId="4" xfId="2" applyNumberFormat="1" applyFont="1" applyBorder="1" applyAlignment="1">
      <alignment horizontal="center"/>
    </xf>
    <xf numFmtId="166" fontId="36" fillId="0" borderId="7" xfId="2" applyNumberFormat="1" applyFont="1" applyBorder="1" applyAlignment="1">
      <alignment horizontal="center"/>
    </xf>
    <xf numFmtId="3" fontId="36" fillId="0" borderId="8" xfId="0" applyNumberFormat="1" applyFont="1" applyBorder="1" applyAlignment="1" applyProtection="1">
      <alignment horizontal="center"/>
      <protection locked="0"/>
    </xf>
    <xf numFmtId="37" fontId="36" fillId="0" borderId="40" xfId="3" applyNumberFormat="1" applyFont="1" applyBorder="1" applyAlignment="1">
      <alignment horizontal="center"/>
    </xf>
    <xf numFmtId="0" fontId="36" fillId="0" borderId="0" xfId="44" applyFont="1"/>
    <xf numFmtId="0" fontId="38" fillId="3" borderId="45" xfId="45" applyNumberFormat="1" applyFont="1" applyFill="1" applyBorder="1" applyAlignment="1">
      <alignment horizontal="center" vertical="center" wrapText="1"/>
    </xf>
    <xf numFmtId="0" fontId="38" fillId="3" borderId="55" xfId="45" applyNumberFormat="1" applyFont="1" applyFill="1" applyBorder="1" applyAlignment="1">
      <alignment horizontal="center" vertical="center" wrapText="1"/>
    </xf>
    <xf numFmtId="0" fontId="38" fillId="3" borderId="55" xfId="46" applyFont="1" applyFill="1" applyBorder="1" applyAlignment="1">
      <alignment horizontal="center" vertical="center"/>
    </xf>
    <xf numFmtId="171" fontId="38" fillId="3" borderId="54" xfId="47" applyNumberFormat="1" applyFont="1" applyFill="1" applyBorder="1" applyAlignment="1">
      <alignment horizontal="center" vertical="center" wrapText="1"/>
    </xf>
    <xf numFmtId="1" fontId="41" fillId="0" borderId="45" xfId="45" applyNumberFormat="1" applyFont="1" applyFill="1" applyBorder="1" applyAlignment="1">
      <alignment horizontal="center"/>
    </xf>
    <xf numFmtId="1" fontId="41" fillId="0" borderId="55" xfId="45" applyNumberFormat="1" applyFont="1" applyFill="1" applyBorder="1" applyAlignment="1">
      <alignment horizontal="center"/>
    </xf>
    <xf numFmtId="166" fontId="41" fillId="0" borderId="55" xfId="46" applyNumberFormat="1" applyFont="1" applyBorder="1" applyAlignment="1">
      <alignment horizontal="center"/>
    </xf>
    <xf numFmtId="166" fontId="41" fillId="0" borderId="54" xfId="46" applyNumberFormat="1" applyFont="1" applyBorder="1" applyAlignment="1" applyProtection="1">
      <alignment horizontal="center"/>
      <protection locked="0"/>
    </xf>
    <xf numFmtId="1" fontId="41" fillId="0" borderId="46" xfId="45" applyNumberFormat="1" applyFont="1" applyFill="1" applyBorder="1" applyAlignment="1">
      <alignment horizontal="center"/>
    </xf>
    <xf numFmtId="1" fontId="41" fillId="0" borderId="57" xfId="45" applyNumberFormat="1" applyFont="1" applyFill="1" applyBorder="1" applyAlignment="1">
      <alignment horizontal="center"/>
    </xf>
    <xf numFmtId="166" fontId="41" fillId="0" borderId="57" xfId="46" applyNumberFormat="1" applyFont="1" applyBorder="1" applyAlignment="1">
      <alignment horizontal="center"/>
    </xf>
    <xf numFmtId="166" fontId="41" fillId="0" borderId="49" xfId="46" applyNumberFormat="1" applyFont="1" applyBorder="1" applyAlignment="1" applyProtection="1">
      <alignment horizontal="center"/>
      <protection locked="0"/>
    </xf>
    <xf numFmtId="1" fontId="41" fillId="0" borderId="33" xfId="45" applyNumberFormat="1" applyFont="1" applyFill="1" applyBorder="1" applyAlignment="1">
      <alignment horizontal="center"/>
    </xf>
    <xf numFmtId="1" fontId="41" fillId="0" borderId="2" xfId="45" applyNumberFormat="1" applyFont="1" applyFill="1" applyBorder="1" applyAlignment="1">
      <alignment horizontal="center"/>
    </xf>
    <xf numFmtId="166" fontId="41" fillId="0" borderId="2" xfId="46" applyNumberFormat="1" applyFont="1" applyBorder="1" applyAlignment="1">
      <alignment horizontal="center"/>
    </xf>
    <xf numFmtId="166" fontId="41" fillId="0" borderId="31" xfId="46" applyNumberFormat="1" applyFont="1" applyBorder="1" applyAlignment="1" applyProtection="1">
      <alignment horizontal="center"/>
      <protection locked="0"/>
    </xf>
    <xf numFmtId="1" fontId="41" fillId="0" borderId="58" xfId="45" applyNumberFormat="1" applyFont="1" applyFill="1" applyBorder="1" applyAlignment="1">
      <alignment horizontal="center"/>
    </xf>
    <xf numFmtId="1" fontId="41" fillId="0" borderId="50" xfId="45" applyNumberFormat="1" applyFont="1" applyFill="1" applyBorder="1" applyAlignment="1">
      <alignment horizontal="center"/>
    </xf>
    <xf numFmtId="166" fontId="41" fillId="0" borderId="50" xfId="46" applyNumberFormat="1" applyFont="1" applyBorder="1" applyAlignment="1">
      <alignment horizontal="center"/>
    </xf>
    <xf numFmtId="166" fontId="41" fillId="0" borderId="20" xfId="46" applyNumberFormat="1" applyFont="1" applyBorder="1" applyAlignment="1" applyProtection="1">
      <alignment horizontal="center"/>
      <protection locked="0"/>
    </xf>
    <xf numFmtId="1" fontId="41" fillId="0" borderId="36" xfId="45" applyNumberFormat="1" applyFont="1" applyFill="1" applyBorder="1" applyAlignment="1">
      <alignment horizontal="center"/>
    </xf>
    <xf numFmtId="1" fontId="41" fillId="0" borderId="13" xfId="45" applyNumberFormat="1" applyFont="1" applyFill="1" applyBorder="1" applyAlignment="1">
      <alignment horizontal="center"/>
    </xf>
    <xf numFmtId="166" fontId="41" fillId="0" borderId="13" xfId="46" applyNumberFormat="1" applyFont="1" applyBorder="1" applyAlignment="1">
      <alignment horizontal="center"/>
    </xf>
    <xf numFmtId="166" fontId="41" fillId="0" borderId="22" xfId="46" applyNumberFormat="1" applyFont="1" applyBorder="1" applyAlignment="1" applyProtection="1">
      <alignment horizontal="center"/>
      <protection locked="0"/>
    </xf>
    <xf numFmtId="1" fontId="41" fillId="0" borderId="37" xfId="45" applyNumberFormat="1" applyFont="1" applyFill="1" applyBorder="1" applyAlignment="1">
      <alignment horizontal="center"/>
    </xf>
    <xf numFmtId="1" fontId="41" fillId="0" borderId="15" xfId="45" applyNumberFormat="1" applyFont="1" applyFill="1" applyBorder="1" applyAlignment="1">
      <alignment horizontal="center"/>
    </xf>
    <xf numFmtId="166" fontId="41" fillId="0" borderId="15" xfId="46" applyNumberFormat="1" applyFont="1" applyBorder="1" applyAlignment="1">
      <alignment horizontal="center"/>
    </xf>
    <xf numFmtId="166" fontId="41" fillId="0" borderId="24" xfId="46" applyNumberFormat="1" applyFont="1" applyBorder="1" applyAlignment="1" applyProtection="1">
      <alignment horizontal="center"/>
      <protection locked="0"/>
    </xf>
    <xf numFmtId="0" fontId="56" fillId="0" borderId="45" xfId="45" applyNumberFormat="1" applyFont="1" applyFill="1" applyBorder="1" applyAlignment="1">
      <alignment horizontal="center"/>
    </xf>
    <xf numFmtId="0" fontId="56" fillId="0" borderId="55" xfId="45" applyNumberFormat="1" applyFont="1" applyFill="1" applyBorder="1" applyAlignment="1">
      <alignment horizontal="center"/>
    </xf>
    <xf numFmtId="166" fontId="56" fillId="0" borderId="55" xfId="48" applyNumberFormat="1" applyFont="1" applyBorder="1" applyAlignment="1">
      <alignment horizontal="center"/>
    </xf>
    <xf numFmtId="166" fontId="56" fillId="0" borderId="54" xfId="48" applyNumberFormat="1" applyFont="1" applyBorder="1" applyAlignment="1" applyProtection="1">
      <alignment horizontal="center"/>
      <protection locked="0"/>
    </xf>
    <xf numFmtId="0" fontId="56" fillId="0" borderId="58" xfId="45" applyNumberFormat="1" applyFont="1" applyFill="1" applyBorder="1" applyAlignment="1">
      <alignment horizontal="center"/>
    </xf>
    <xf numFmtId="0" fontId="56" fillId="0" borderId="50" xfId="45" applyNumberFormat="1" applyFont="1" applyFill="1" applyBorder="1" applyAlignment="1">
      <alignment horizontal="center"/>
    </xf>
    <xf numFmtId="166" fontId="56" fillId="0" borderId="50" xfId="48" applyNumberFormat="1" applyFont="1" applyBorder="1" applyAlignment="1">
      <alignment horizontal="center"/>
    </xf>
    <xf numFmtId="166" fontId="56" fillId="0" borderId="20" xfId="48" applyNumberFormat="1" applyFont="1" applyBorder="1" applyAlignment="1" applyProtection="1">
      <alignment horizontal="center"/>
      <protection locked="0"/>
    </xf>
    <xf numFmtId="0" fontId="56" fillId="0" borderId="36" xfId="45" applyNumberFormat="1" applyFont="1" applyFill="1" applyBorder="1" applyAlignment="1">
      <alignment horizontal="center"/>
    </xf>
    <xf numFmtId="0" fontId="56" fillId="0" borderId="13" xfId="45" applyNumberFormat="1" applyFont="1" applyFill="1" applyBorder="1" applyAlignment="1">
      <alignment horizontal="center"/>
    </xf>
    <xf numFmtId="166" fontId="56" fillId="0" borderId="13" xfId="48" applyNumberFormat="1" applyFont="1" applyBorder="1" applyAlignment="1">
      <alignment horizontal="center"/>
    </xf>
    <xf numFmtId="166" fontId="56" fillId="0" borderId="22" xfId="48" applyNumberFormat="1" applyFont="1" applyBorder="1" applyAlignment="1" applyProtection="1">
      <alignment horizontal="center"/>
      <protection locked="0"/>
    </xf>
    <xf numFmtId="0" fontId="56" fillId="0" borderId="37" xfId="45" applyNumberFormat="1" applyFont="1" applyFill="1" applyBorder="1" applyAlignment="1">
      <alignment horizontal="center"/>
    </xf>
    <xf numFmtId="0" fontId="56" fillId="0" borderId="15" xfId="45" applyNumberFormat="1" applyFont="1" applyFill="1" applyBorder="1" applyAlignment="1">
      <alignment horizontal="center"/>
    </xf>
    <xf numFmtId="166" fontId="56" fillId="0" borderId="15" xfId="48" applyNumberFormat="1" applyFont="1" applyBorder="1" applyAlignment="1">
      <alignment horizontal="center"/>
    </xf>
    <xf numFmtId="166" fontId="56" fillId="0" borderId="24" xfId="48" applyNumberFormat="1" applyFont="1" applyBorder="1" applyAlignment="1" applyProtection="1">
      <alignment horizontal="center"/>
      <protection locked="0"/>
    </xf>
    <xf numFmtId="0" fontId="56" fillId="0" borderId="33" xfId="45" applyNumberFormat="1" applyFont="1" applyFill="1" applyBorder="1" applyAlignment="1">
      <alignment horizontal="center"/>
    </xf>
    <xf numFmtId="0" fontId="56" fillId="0" borderId="2" xfId="45" applyNumberFormat="1" applyFont="1" applyFill="1" applyBorder="1" applyAlignment="1">
      <alignment horizontal="center"/>
    </xf>
    <xf numFmtId="166" fontId="56" fillId="0" borderId="2" xfId="48" applyNumberFormat="1" applyFont="1" applyBorder="1" applyAlignment="1">
      <alignment horizontal="center"/>
    </xf>
    <xf numFmtId="166" fontId="56" fillId="0" borderId="31" xfId="48" applyNumberFormat="1" applyFont="1" applyBorder="1" applyAlignment="1" applyProtection="1">
      <alignment horizontal="center"/>
      <protection locked="0"/>
    </xf>
    <xf numFmtId="0" fontId="56" fillId="0" borderId="46" xfId="45" applyNumberFormat="1" applyFont="1" applyFill="1" applyBorder="1" applyAlignment="1">
      <alignment horizontal="center"/>
    </xf>
    <xf numFmtId="0" fontId="56" fillId="0" borderId="57" xfId="45" applyNumberFormat="1" applyFont="1" applyFill="1" applyBorder="1" applyAlignment="1">
      <alignment horizontal="center"/>
    </xf>
    <xf numFmtId="166" fontId="56" fillId="0" borderId="57" xfId="48" applyNumberFormat="1" applyFont="1" applyBorder="1" applyAlignment="1">
      <alignment horizontal="center"/>
    </xf>
    <xf numFmtId="166" fontId="56" fillId="0" borderId="49" xfId="48" applyNumberFormat="1" applyFont="1" applyBorder="1" applyAlignment="1" applyProtection="1">
      <alignment horizontal="center"/>
      <protection locked="0"/>
    </xf>
    <xf numFmtId="1" fontId="56" fillId="0" borderId="33" xfId="45" applyNumberFormat="1" applyFont="1" applyFill="1" applyBorder="1" applyAlignment="1">
      <alignment horizontal="center"/>
    </xf>
    <xf numFmtId="1" fontId="56" fillId="0" borderId="2" xfId="45" applyNumberFormat="1" applyFont="1" applyFill="1" applyBorder="1" applyAlignment="1">
      <alignment horizontal="center"/>
    </xf>
    <xf numFmtId="1" fontId="56" fillId="0" borderId="36" xfId="45" applyNumberFormat="1" applyFont="1" applyFill="1" applyBorder="1" applyAlignment="1">
      <alignment horizontal="center"/>
    </xf>
    <xf numFmtId="1" fontId="56" fillId="0" borderId="13" xfId="45" applyNumberFormat="1" applyFont="1" applyFill="1" applyBorder="1" applyAlignment="1">
      <alignment horizontal="center"/>
    </xf>
    <xf numFmtId="1" fontId="56" fillId="0" borderId="58" xfId="45" applyNumberFormat="1" applyFont="1" applyFill="1" applyBorder="1" applyAlignment="1">
      <alignment horizontal="center"/>
    </xf>
    <xf numFmtId="1" fontId="56" fillId="0" borderId="50" xfId="45" applyNumberFormat="1" applyFont="1" applyFill="1" applyBorder="1" applyAlignment="1">
      <alignment horizontal="center"/>
    </xf>
    <xf numFmtId="1" fontId="56" fillId="0" borderId="37" xfId="45" applyNumberFormat="1" applyFont="1" applyFill="1" applyBorder="1" applyAlignment="1">
      <alignment horizontal="center"/>
    </xf>
    <xf numFmtId="1" fontId="56" fillId="0" borderId="15" xfId="45" applyNumberFormat="1" applyFont="1" applyFill="1" applyBorder="1" applyAlignment="1">
      <alignment horizontal="center"/>
    </xf>
    <xf numFmtId="0" fontId="56" fillId="0" borderId="39" xfId="45" applyNumberFormat="1" applyFont="1" applyFill="1" applyBorder="1" applyAlignment="1">
      <alignment horizontal="center"/>
    </xf>
    <xf numFmtId="0" fontId="56" fillId="0" borderId="67" xfId="45" applyNumberFormat="1" applyFont="1" applyFill="1" applyBorder="1" applyAlignment="1">
      <alignment horizontal="center"/>
    </xf>
    <xf numFmtId="166" fontId="56" fillId="0" borderId="67" xfId="48" applyNumberFormat="1" applyFont="1" applyBorder="1" applyAlignment="1">
      <alignment horizontal="center"/>
    </xf>
    <xf numFmtId="166" fontId="56" fillId="0" borderId="59" xfId="48" applyNumberFormat="1" applyFont="1" applyBorder="1" applyAlignment="1" applyProtection="1">
      <alignment horizontal="center"/>
      <protection locked="0"/>
    </xf>
    <xf numFmtId="10" fontId="36" fillId="0" borderId="19" xfId="45" applyNumberFormat="1" applyFont="1" applyFill="1" applyBorder="1" applyAlignment="1">
      <alignment horizontal="center"/>
    </xf>
    <xf numFmtId="0" fontId="36" fillId="0" borderId="0" xfId="44" applyFont="1" applyAlignment="1">
      <alignment horizontal="center"/>
    </xf>
    <xf numFmtId="0" fontId="36" fillId="0" borderId="0" xfId="45" applyNumberFormat="1" applyFont="1" applyAlignment="1">
      <alignment horizontal="center"/>
    </xf>
    <xf numFmtId="0" fontId="48" fillId="0" borderId="1" xfId="21" applyFont="1" applyBorder="1" applyAlignment="1">
      <alignment horizontal="left" vertical="top" wrapText="1"/>
    </xf>
    <xf numFmtId="0" fontId="36" fillId="0" borderId="0" xfId="0" applyFont="1" applyAlignment="1" applyProtection="1">
      <alignment horizontal="left" vertical="center"/>
      <protection locked="0"/>
    </xf>
    <xf numFmtId="0" fontId="38" fillId="3" borderId="31" xfId="0" applyFont="1" applyFill="1" applyBorder="1" applyAlignment="1">
      <alignment horizontal="center" vertical="center" wrapText="1"/>
    </xf>
    <xf numFmtId="0" fontId="38" fillId="3" borderId="33" xfId="0" applyFont="1" applyFill="1" applyBorder="1" applyAlignment="1">
      <alignment horizontal="center" vertical="center" wrapText="1"/>
    </xf>
    <xf numFmtId="0" fontId="36" fillId="0" borderId="0" xfId="0" applyFont="1" applyAlignment="1">
      <alignment horizontal="center" vertical="top" wrapText="1"/>
    </xf>
    <xf numFmtId="0" fontId="38" fillId="3" borderId="2" xfId="0" applyFont="1" applyFill="1" applyBorder="1" applyAlignment="1">
      <alignment horizontal="center" vertical="center" wrapText="1"/>
    </xf>
    <xf numFmtId="14" fontId="35" fillId="0" borderId="0" xfId="53" applyNumberFormat="1" applyFont="1" applyFill="1" applyBorder="1" applyAlignment="1">
      <alignment vertical="center"/>
    </xf>
    <xf numFmtId="0" fontId="38" fillId="3" borderId="53" xfId="0" applyFont="1" applyFill="1" applyBorder="1" applyAlignment="1">
      <alignment horizontal="center" vertical="center" wrapText="1"/>
    </xf>
    <xf numFmtId="0" fontId="38" fillId="3" borderId="49" xfId="0" applyFont="1" applyFill="1" applyBorder="1" applyAlignment="1">
      <alignment horizontal="center" vertical="center" wrapText="1"/>
    </xf>
    <xf numFmtId="0" fontId="36" fillId="0" borderId="33" xfId="0" applyFont="1" applyBorder="1"/>
    <xf numFmtId="0" fontId="36" fillId="5" borderId="31" xfId="0" applyFont="1" applyFill="1" applyBorder="1"/>
    <xf numFmtId="0" fontId="36" fillId="5" borderId="32" xfId="0" applyFont="1" applyFill="1" applyBorder="1"/>
    <xf numFmtId="0" fontId="36" fillId="5" borderId="33" xfId="0" applyFont="1" applyFill="1" applyBorder="1"/>
    <xf numFmtId="0" fontId="36" fillId="5" borderId="32" xfId="0" applyFont="1" applyFill="1" applyBorder="1" applyAlignment="1">
      <alignment wrapText="1"/>
    </xf>
    <xf numFmtId="0" fontId="36" fillId="5" borderId="33" xfId="0" applyFont="1" applyFill="1" applyBorder="1" applyAlignment="1">
      <alignment wrapText="1"/>
    </xf>
    <xf numFmtId="0" fontId="36" fillId="0" borderId="32" xfId="0" applyFont="1" applyBorder="1" applyAlignment="1">
      <alignment horizontal="left"/>
    </xf>
    <xf numFmtId="0" fontId="36" fillId="0" borderId="33" xfId="0" applyFont="1" applyBorder="1" applyAlignment="1">
      <alignment horizontal="left"/>
    </xf>
    <xf numFmtId="0" fontId="36" fillId="5" borderId="31" xfId="0" applyFont="1" applyFill="1" applyBorder="1" applyAlignment="1">
      <alignment horizontal="left"/>
    </xf>
    <xf numFmtId="0" fontId="36" fillId="5" borderId="32" xfId="0" applyFont="1" applyFill="1" applyBorder="1" applyAlignment="1">
      <alignment horizontal="left"/>
    </xf>
    <xf numFmtId="0" fontId="36" fillId="5" borderId="33" xfId="0" applyFont="1" applyFill="1" applyBorder="1" applyAlignment="1">
      <alignment horizontal="left"/>
    </xf>
    <xf numFmtId="0" fontId="38" fillId="3" borderId="0" xfId="0" applyFont="1" applyFill="1"/>
    <xf numFmtId="0" fontId="36" fillId="0" borderId="6" xfId="0" applyFont="1" applyBorder="1" applyAlignment="1" applyProtection="1">
      <alignment horizontal="center" vertical="top"/>
      <protection locked="0"/>
    </xf>
    <xf numFmtId="1" fontId="36" fillId="0" borderId="6" xfId="2" applyNumberFormat="1" applyFont="1" applyBorder="1" applyAlignment="1" applyProtection="1">
      <alignment horizontal="center"/>
      <protection locked="0"/>
    </xf>
    <xf numFmtId="166" fontId="35" fillId="5" borderId="6" xfId="2" applyNumberFormat="1" applyFont="1" applyFill="1" applyBorder="1" applyAlignment="1">
      <alignment horizontal="center"/>
    </xf>
    <xf numFmtId="2" fontId="36" fillId="5" borderId="6" xfId="2" applyNumberFormat="1" applyFont="1" applyFill="1" applyBorder="1" applyAlignment="1">
      <alignment horizontal="center"/>
    </xf>
    <xf numFmtId="166" fontId="35" fillId="0" borderId="6" xfId="2" applyNumberFormat="1" applyFont="1" applyBorder="1" applyAlignment="1" applyProtection="1">
      <alignment horizontal="center"/>
      <protection locked="0"/>
    </xf>
    <xf numFmtId="166" fontId="35" fillId="5" borderId="9" xfId="2" applyNumberFormat="1" applyFont="1" applyFill="1" applyBorder="1" applyAlignment="1">
      <alignment horizontal="center"/>
    </xf>
    <xf numFmtId="0" fontId="36" fillId="0" borderId="46" xfId="0" applyFont="1" applyBorder="1" applyAlignment="1">
      <alignment vertical="top" wrapText="1"/>
    </xf>
    <xf numFmtId="0" fontId="35" fillId="0" borderId="53" xfId="0" applyFont="1" applyBorder="1" applyAlignment="1">
      <alignment vertical="top"/>
    </xf>
    <xf numFmtId="0" fontId="36" fillId="0" borderId="48" xfId="0" applyFont="1" applyBorder="1" applyAlignment="1">
      <alignment vertical="top"/>
    </xf>
    <xf numFmtId="168" fontId="36" fillId="0" borderId="0" xfId="0" applyNumberFormat="1" applyFont="1" applyAlignment="1">
      <alignment vertical="top" wrapText="1"/>
    </xf>
    <xf numFmtId="0" fontId="36" fillId="5" borderId="24" xfId="0" applyFont="1" applyFill="1" applyBorder="1" applyAlignment="1" applyProtection="1">
      <alignment horizontal="left" vertical="center"/>
      <protection locked="0"/>
    </xf>
    <xf numFmtId="169" fontId="36" fillId="5" borderId="7" xfId="0" applyNumberFormat="1" applyFont="1" applyFill="1" applyBorder="1" applyAlignment="1" applyProtection="1">
      <alignment horizontal="center"/>
      <protection locked="0"/>
    </xf>
    <xf numFmtId="169" fontId="36" fillId="5" borderId="8" xfId="0" applyNumberFormat="1" applyFont="1" applyFill="1" applyBorder="1" applyAlignment="1" applyProtection="1">
      <alignment horizontal="center"/>
      <protection locked="0"/>
    </xf>
    <xf numFmtId="0" fontId="36" fillId="5" borderId="8" xfId="0" applyFont="1" applyFill="1" applyBorder="1" applyAlignment="1" applyProtection="1">
      <alignment horizontal="center"/>
      <protection locked="0"/>
    </xf>
    <xf numFmtId="0" fontId="36" fillId="5" borderId="9" xfId="0" applyFont="1" applyFill="1" applyBorder="1" applyAlignment="1" applyProtection="1">
      <alignment horizontal="center"/>
      <protection locked="0"/>
    </xf>
    <xf numFmtId="0" fontId="38" fillId="3" borderId="0" xfId="43" applyFont="1" applyFill="1" applyBorder="1"/>
    <xf numFmtId="0" fontId="38" fillId="0" borderId="0" xfId="0" applyFont="1" applyAlignment="1">
      <alignment horizontal="center" wrapText="1"/>
    </xf>
    <xf numFmtId="14" fontId="35" fillId="0" borderId="0" xfId="0" applyNumberFormat="1" applyFont="1" applyAlignment="1">
      <alignment horizontal="left"/>
    </xf>
    <xf numFmtId="14" fontId="36" fillId="0" borderId="51" xfId="0" applyNumberFormat="1" applyFont="1" applyBorder="1" applyAlignment="1" applyProtection="1">
      <alignment horizontal="center"/>
      <protection locked="0"/>
    </xf>
    <xf numFmtId="0" fontId="36" fillId="0" borderId="3" xfId="2" applyNumberFormat="1" applyFont="1" applyBorder="1" applyAlignment="1" applyProtection="1">
      <alignment horizontal="center"/>
      <protection locked="0"/>
    </xf>
    <xf numFmtId="0" fontId="36" fillId="5" borderId="6" xfId="2" applyNumberFormat="1" applyFont="1" applyFill="1" applyBorder="1" applyAlignment="1" applyProtection="1">
      <alignment horizontal="center"/>
      <protection locked="0"/>
    </xf>
    <xf numFmtId="0" fontId="36" fillId="0" borderId="6" xfId="2" applyNumberFormat="1" applyFont="1" applyBorder="1" applyAlignment="1" applyProtection="1">
      <alignment horizontal="center"/>
      <protection locked="0"/>
    </xf>
    <xf numFmtId="0" fontId="36" fillId="0" borderId="6" xfId="2" applyNumberFormat="1" applyFont="1" applyFill="1" applyBorder="1" applyAlignment="1" applyProtection="1">
      <alignment horizontal="center"/>
      <protection locked="0"/>
    </xf>
    <xf numFmtId="0" fontId="36" fillId="5" borderId="9" xfId="2" applyNumberFormat="1" applyFont="1" applyFill="1" applyBorder="1" applyAlignment="1" applyProtection="1">
      <alignment horizontal="center"/>
      <protection locked="0"/>
    </xf>
    <xf numFmtId="164" fontId="35" fillId="0" borderId="34" xfId="0" applyNumberFormat="1" applyFont="1" applyBorder="1" applyAlignment="1" applyProtection="1">
      <alignment horizontal="center" vertical="center"/>
      <protection locked="0"/>
    </xf>
    <xf numFmtId="164" fontId="35" fillId="5" borderId="27" xfId="0" applyNumberFormat="1" applyFont="1" applyFill="1" applyBorder="1" applyAlignment="1" applyProtection="1">
      <alignment horizontal="center" vertical="center"/>
      <protection locked="0"/>
    </xf>
    <xf numFmtId="164" fontId="35" fillId="0" borderId="27" xfId="0" applyNumberFormat="1" applyFont="1" applyBorder="1" applyAlignment="1" applyProtection="1">
      <alignment horizontal="center" vertical="center"/>
      <protection locked="0"/>
    </xf>
    <xf numFmtId="164" fontId="35" fillId="0" borderId="28" xfId="0" applyNumberFormat="1" applyFont="1" applyBorder="1" applyAlignment="1" applyProtection="1">
      <alignment horizontal="center" vertical="center"/>
      <protection locked="0"/>
    </xf>
    <xf numFmtId="169" fontId="36" fillId="0" borderId="52" xfId="0" applyNumberFormat="1" applyFont="1" applyBorder="1" applyAlignment="1">
      <alignment horizontal="center" vertical="center"/>
    </xf>
    <xf numFmtId="169" fontId="36" fillId="5" borderId="5" xfId="0" applyNumberFormat="1" applyFont="1" applyFill="1" applyBorder="1" applyAlignment="1">
      <alignment horizontal="center" vertical="center"/>
    </xf>
    <xf numFmtId="169" fontId="36" fillId="0" borderId="5" xfId="0" applyNumberFormat="1" applyFont="1" applyBorder="1" applyAlignment="1">
      <alignment horizontal="center" vertical="center"/>
    </xf>
    <xf numFmtId="169" fontId="36" fillId="0" borderId="8" xfId="0" applyNumberFormat="1" applyFont="1" applyBorder="1" applyAlignment="1">
      <alignment horizontal="center" vertical="center"/>
    </xf>
    <xf numFmtId="178" fontId="36" fillId="0" borderId="0" xfId="0" applyNumberFormat="1" applyFont="1" applyAlignment="1">
      <alignment horizontal="center"/>
    </xf>
    <xf numFmtId="14" fontId="36" fillId="0" borderId="0" xfId="0" applyNumberFormat="1" applyFont="1" applyAlignment="1">
      <alignment horizontal="left"/>
    </xf>
    <xf numFmtId="37" fontId="36" fillId="0" borderId="0" xfId="3" applyNumberFormat="1" applyFont="1" applyBorder="1" applyAlignment="1">
      <alignment horizontal="center"/>
    </xf>
    <xf numFmtId="179" fontId="36" fillId="0" borderId="0" xfId="0" applyNumberFormat="1" applyFont="1"/>
    <xf numFmtId="166" fontId="36" fillId="0" borderId="0" xfId="0" applyNumberFormat="1" applyFont="1"/>
    <xf numFmtId="166" fontId="36" fillId="0" borderId="58" xfId="2" applyNumberFormat="1" applyFont="1" applyFill="1" applyBorder="1" applyAlignment="1">
      <alignment horizontal="center"/>
    </xf>
    <xf numFmtId="177" fontId="36" fillId="5" borderId="36" xfId="2" applyNumberFormat="1" applyFont="1" applyFill="1" applyBorder="1" applyAlignment="1">
      <alignment horizontal="center"/>
    </xf>
    <xf numFmtId="166" fontId="36" fillId="0" borderId="37" xfId="2" applyNumberFormat="1" applyFont="1" applyFill="1" applyBorder="1" applyAlignment="1">
      <alignment horizontal="center"/>
    </xf>
    <xf numFmtId="0" fontId="36" fillId="0" borderId="0" xfId="54" applyFont="1" applyAlignment="1">
      <alignment horizontal="left" wrapText="1"/>
    </xf>
    <xf numFmtId="0" fontId="36" fillId="0" borderId="46" xfId="54" applyFont="1" applyBorder="1" applyAlignment="1">
      <alignment horizontal="left" wrapText="1"/>
    </xf>
    <xf numFmtId="0" fontId="38" fillId="3" borderId="2" xfId="0" applyFont="1" applyFill="1" applyBorder="1" applyAlignment="1">
      <alignment horizontal="center"/>
    </xf>
    <xf numFmtId="0" fontId="36" fillId="0" borderId="32" xfId="0" applyFont="1" applyBorder="1"/>
    <xf numFmtId="0" fontId="36" fillId="0" borderId="0" xfId="0" applyFont="1" applyAlignment="1" applyProtection="1">
      <alignment horizontal="left" vertical="top" wrapText="1"/>
      <protection locked="0"/>
    </xf>
    <xf numFmtId="0" fontId="36" fillId="0" borderId="54" xfId="0" applyFont="1" applyBorder="1" applyAlignment="1" applyProtection="1">
      <alignment horizontal="left" vertical="top" wrapText="1"/>
      <protection locked="0"/>
    </xf>
    <xf numFmtId="168" fontId="36" fillId="0" borderId="1" xfId="0" applyNumberFormat="1" applyFont="1" applyBorder="1" applyAlignment="1">
      <alignment horizontal="center" vertical="center"/>
    </xf>
    <xf numFmtId="0" fontId="35" fillId="0" borderId="0" xfId="0" applyFont="1" applyAlignment="1">
      <alignment vertical="top" wrapText="1"/>
    </xf>
    <xf numFmtId="0" fontId="36" fillId="0" borderId="0" xfId="0" applyFont="1" applyAlignment="1" applyProtection="1">
      <alignment horizontal="center"/>
      <protection locked="0"/>
    </xf>
    <xf numFmtId="169" fontId="35" fillId="0" borderId="0" xfId="0" applyNumberFormat="1" applyFont="1" applyAlignment="1">
      <alignment horizontal="left" wrapText="1"/>
    </xf>
    <xf numFmtId="0" fontId="36" fillId="0" borderId="0" xfId="0" applyFont="1" applyAlignment="1" applyProtection="1">
      <alignment horizontal="center" vertical="top" wrapText="1"/>
      <protection locked="0"/>
    </xf>
    <xf numFmtId="0" fontId="35" fillId="0" borderId="0" xfId="0" applyFont="1" applyAlignment="1">
      <alignment horizontal="left" vertical="top" wrapText="1"/>
    </xf>
    <xf numFmtId="0" fontId="36" fillId="0" borderId="24" xfId="0" applyFont="1" applyBorder="1" applyAlignment="1" applyProtection="1">
      <alignment horizontal="left"/>
      <protection locked="0"/>
    </xf>
    <xf numFmtId="0" fontId="0" fillId="0" borderId="20" xfId="0" applyBorder="1" applyAlignment="1">
      <alignment horizontal="left" vertical="center"/>
    </xf>
    <xf numFmtId="0" fontId="0" fillId="0" borderId="21" xfId="0" applyBorder="1" applyAlignment="1">
      <alignment horizontal="left" vertical="center"/>
    </xf>
    <xf numFmtId="0" fontId="9" fillId="3" borderId="2" xfId="0" applyFont="1" applyFill="1" applyBorder="1" applyAlignment="1">
      <alignment horizontal="center" vertical="center" wrapText="1"/>
    </xf>
    <xf numFmtId="0" fontId="9" fillId="3" borderId="2" xfId="0" applyFont="1" applyFill="1" applyBorder="1" applyAlignment="1">
      <alignment horizontal="center" vertical="center"/>
    </xf>
    <xf numFmtId="168" fontId="0" fillId="0" borderId="1" xfId="0" applyNumberFormat="1" applyBorder="1" applyAlignment="1">
      <alignment horizontal="center" vertical="center"/>
    </xf>
    <xf numFmtId="0" fontId="13" fillId="0" borderId="49" xfId="4" applyFont="1" applyBorder="1" applyAlignment="1" applyProtection="1">
      <alignment horizontal="center" vertical="top" wrapText="1"/>
      <protection locked="0"/>
    </xf>
    <xf numFmtId="0" fontId="6" fillId="0" borderId="31" xfId="0" applyFont="1" applyBorder="1" applyAlignment="1">
      <alignment horizontal="left" vertical="center"/>
    </xf>
    <xf numFmtId="0" fontId="9" fillId="3" borderId="31" xfId="0" applyFont="1" applyFill="1" applyBorder="1" applyAlignment="1">
      <alignment horizontal="center" vertical="center" wrapText="1"/>
    </xf>
    <xf numFmtId="0" fontId="36" fillId="0" borderId="20" xfId="0" applyFont="1" applyBorder="1" applyAlignment="1">
      <alignment horizontal="left"/>
    </xf>
    <xf numFmtId="0" fontId="36" fillId="0" borderId="0" xfId="0" applyFont="1" applyAlignment="1">
      <alignment horizontal="left" vertical="center" wrapText="1"/>
    </xf>
    <xf numFmtId="0" fontId="36" fillId="0" borderId="0" xfId="0" applyFont="1" applyAlignment="1">
      <alignment horizontal="left"/>
    </xf>
    <xf numFmtId="0" fontId="36" fillId="0" borderId="54" xfId="0" applyFont="1" applyBorder="1" applyAlignment="1">
      <alignment horizontal="left"/>
    </xf>
    <xf numFmtId="0" fontId="36" fillId="0" borderId="0" xfId="0" applyFont="1" applyProtection="1">
      <protection locked="0"/>
    </xf>
    <xf numFmtId="0" fontId="36" fillId="0" borderId="19" xfId="0" applyFont="1" applyBorder="1"/>
    <xf numFmtId="0" fontId="36" fillId="0" borderId="48" xfId="0" applyFont="1" applyBorder="1"/>
    <xf numFmtId="0" fontId="36" fillId="0" borderId="44" xfId="0" applyFont="1" applyBorder="1"/>
    <xf numFmtId="0" fontId="36" fillId="0" borderId="47" xfId="0" applyFont="1" applyBorder="1"/>
    <xf numFmtId="0" fontId="36" fillId="0" borderId="35" xfId="0" applyFont="1" applyBorder="1"/>
    <xf numFmtId="0" fontId="51" fillId="0" borderId="0" xfId="44" applyFont="1" applyAlignment="1">
      <alignment horizontal="left" vertical="top" wrapText="1"/>
    </xf>
    <xf numFmtId="0" fontId="35" fillId="0" borderId="0" xfId="54" applyFont="1" applyAlignment="1">
      <alignment horizontal="left"/>
    </xf>
    <xf numFmtId="2" fontId="36" fillId="5" borderId="11" xfId="0" applyNumberFormat="1" applyFont="1" applyFill="1" applyBorder="1" applyAlignment="1">
      <alignment horizontal="center" vertical="center"/>
    </xf>
    <xf numFmtId="4" fontId="36" fillId="5" borderId="11" xfId="0" applyNumberFormat="1" applyFont="1" applyFill="1" applyBorder="1" applyAlignment="1">
      <alignment horizontal="center" vertical="center"/>
    </xf>
    <xf numFmtId="4" fontId="36" fillId="0" borderId="8" xfId="0" applyNumberFormat="1" applyFont="1" applyBorder="1" applyAlignment="1">
      <alignment horizontal="center" vertical="center"/>
    </xf>
    <xf numFmtId="0" fontId="36" fillId="0" borderId="49" xfId="54" applyFont="1" applyBorder="1" applyAlignment="1">
      <alignment horizontal="left" wrapText="1"/>
    </xf>
    <xf numFmtId="0" fontId="36" fillId="0" borderId="0" xfId="54" applyFont="1" applyAlignment="1">
      <alignment horizontal="left" wrapText="1"/>
    </xf>
    <xf numFmtId="0" fontId="36" fillId="0" borderId="46" xfId="54" applyFont="1" applyBorder="1" applyAlignment="1">
      <alignment horizontal="left" wrapText="1"/>
    </xf>
    <xf numFmtId="0" fontId="36" fillId="0" borderId="49" xfId="54" applyFont="1" applyBorder="1" applyAlignment="1">
      <alignment horizontal="left" vertical="top" wrapText="1"/>
    </xf>
    <xf numFmtId="0" fontId="36" fillId="0" borderId="0" xfId="54" applyFont="1" applyAlignment="1">
      <alignment horizontal="left" vertical="top" wrapText="1"/>
    </xf>
    <xf numFmtId="0" fontId="36" fillId="0" borderId="46" xfId="54" applyFont="1" applyBorder="1" applyAlignment="1">
      <alignment horizontal="left" vertical="top" wrapText="1"/>
    </xf>
    <xf numFmtId="0" fontId="39" fillId="3" borderId="19" xfId="54" applyFont="1" applyFill="1" applyBorder="1" applyAlignment="1">
      <alignment horizontal="left" wrapText="1"/>
    </xf>
    <xf numFmtId="0" fontId="39" fillId="3" borderId="48" xfId="54" applyFont="1" applyFill="1" applyBorder="1" applyAlignment="1">
      <alignment horizontal="left" wrapText="1"/>
    </xf>
    <xf numFmtId="0" fontId="36" fillId="0" borderId="49" xfId="54" applyFont="1" applyBorder="1" applyAlignment="1">
      <alignment horizontal="left" vertical="center" wrapText="1"/>
    </xf>
    <xf numFmtId="0" fontId="36" fillId="0" borderId="0" xfId="54" applyFont="1" applyAlignment="1">
      <alignment horizontal="left" vertical="center" wrapText="1"/>
    </xf>
    <xf numFmtId="0" fontId="36" fillId="0" borderId="46" xfId="54" applyFont="1" applyBorder="1" applyAlignment="1">
      <alignment horizontal="left" vertical="center" wrapText="1"/>
    </xf>
    <xf numFmtId="0" fontId="36" fillId="0" borderId="0" xfId="54" applyFont="1" applyAlignment="1">
      <alignment horizontal="left"/>
    </xf>
    <xf numFmtId="0" fontId="36" fillId="0" borderId="1" xfId="0" applyFont="1" applyBorder="1" applyAlignment="1">
      <alignment horizontal="left"/>
    </xf>
    <xf numFmtId="0" fontId="36" fillId="0" borderId="45" xfId="0" applyFont="1" applyBorder="1" applyAlignment="1">
      <alignment horizontal="left"/>
    </xf>
    <xf numFmtId="0" fontId="36" fillId="0" borderId="54" xfId="54" applyFont="1" applyBorder="1" applyAlignment="1">
      <alignment horizontal="left" wrapText="1"/>
    </xf>
    <xf numFmtId="0" fontId="36" fillId="0" borderId="1" xfId="54" applyFont="1" applyBorder="1" applyAlignment="1">
      <alignment horizontal="left" wrapText="1"/>
    </xf>
    <xf numFmtId="0" fontId="36" fillId="0" borderId="45" xfId="54" applyFont="1" applyBorder="1" applyAlignment="1">
      <alignment horizontal="left" wrapText="1"/>
    </xf>
    <xf numFmtId="0" fontId="36" fillId="0" borderId="0" xfId="0" applyFont="1" applyAlignment="1">
      <alignment horizontal="left" vertical="top"/>
    </xf>
    <xf numFmtId="0" fontId="38" fillId="3" borderId="49" xfId="0" applyFont="1" applyFill="1" applyBorder="1" applyAlignment="1">
      <alignment horizontal="center"/>
    </xf>
    <xf numFmtId="0" fontId="38" fillId="3" borderId="0" xfId="0" applyFont="1" applyFill="1" applyAlignment="1">
      <alignment horizontal="center"/>
    </xf>
    <xf numFmtId="0" fontId="36" fillId="0" borderId="0" xfId="0" applyFont="1" applyAlignment="1">
      <alignment horizontal="left" vertical="top" wrapText="1"/>
    </xf>
    <xf numFmtId="0" fontId="38" fillId="3" borderId="2" xfId="0" applyFont="1" applyFill="1" applyBorder="1" applyAlignment="1">
      <alignment horizontal="center" vertical="top" wrapText="1"/>
    </xf>
    <xf numFmtId="0" fontId="36" fillId="0" borderId="38" xfId="0" applyFont="1" applyBorder="1" applyAlignment="1">
      <alignment horizontal="left"/>
    </xf>
    <xf numFmtId="0" fontId="36" fillId="0" borderId="27" xfId="0" applyFont="1" applyBorder="1" applyAlignment="1">
      <alignment horizontal="left"/>
    </xf>
    <xf numFmtId="0" fontId="36" fillId="0" borderId="38" xfId="0" applyFont="1" applyBorder="1" applyAlignment="1" applyProtection="1">
      <alignment horizontal="left"/>
      <protection locked="0"/>
    </xf>
    <xf numFmtId="0" fontId="36" fillId="0" borderId="27" xfId="0" applyFont="1" applyBorder="1" applyAlignment="1" applyProtection="1">
      <alignment horizontal="left"/>
      <protection locked="0"/>
    </xf>
    <xf numFmtId="0" fontId="51" fillId="0" borderId="19" xfId="0" applyFont="1" applyBorder="1" applyAlignment="1">
      <alignment horizontal="left" vertical="center" wrapText="1"/>
    </xf>
    <xf numFmtId="0" fontId="38" fillId="3" borderId="2" xfId="0" applyFont="1" applyFill="1" applyBorder="1" applyAlignment="1">
      <alignment horizontal="center"/>
    </xf>
    <xf numFmtId="0" fontId="36" fillId="0" borderId="0" xfId="0" applyFont="1" applyAlignment="1">
      <alignment horizontal="left" wrapText="1"/>
    </xf>
    <xf numFmtId="0" fontId="43" fillId="0" borderId="31" xfId="4" applyFont="1" applyBorder="1" applyAlignment="1" applyProtection="1">
      <alignment horizontal="left" vertical="top" wrapText="1"/>
    </xf>
    <xf numFmtId="0" fontId="43" fillId="0" borderId="32" xfId="4" applyFont="1" applyBorder="1" applyAlignment="1" applyProtection="1">
      <alignment horizontal="left" vertical="top" wrapText="1"/>
    </xf>
    <xf numFmtId="0" fontId="43" fillId="0" borderId="33" xfId="4" applyFont="1" applyBorder="1" applyAlignment="1" applyProtection="1">
      <alignment horizontal="left" vertical="top" wrapText="1"/>
    </xf>
    <xf numFmtId="0" fontId="41" fillId="0" borderId="31" xfId="21" applyFont="1" applyBorder="1" applyAlignment="1">
      <alignment horizontal="left" vertical="top" wrapText="1"/>
    </xf>
    <xf numFmtId="0" fontId="41" fillId="0" borderId="32" xfId="21" applyFont="1" applyBorder="1" applyAlignment="1">
      <alignment horizontal="left" vertical="top" wrapText="1"/>
    </xf>
    <xf numFmtId="0" fontId="41" fillId="0" borderId="33" xfId="21" applyFont="1" applyBorder="1" applyAlignment="1">
      <alignment horizontal="left" vertical="top" wrapText="1"/>
    </xf>
    <xf numFmtId="0" fontId="36" fillId="0" borderId="31" xfId="4" applyFont="1" applyBorder="1" applyAlignment="1" applyProtection="1">
      <alignment horizontal="left" vertical="top" wrapText="1"/>
    </xf>
    <xf numFmtId="0" fontId="36" fillId="0" borderId="32" xfId="4" applyFont="1" applyBorder="1" applyAlignment="1" applyProtection="1">
      <alignment horizontal="left" vertical="top" wrapText="1"/>
    </xf>
    <xf numFmtId="0" fontId="36" fillId="0" borderId="33" xfId="4" applyFont="1" applyBorder="1" applyAlignment="1" applyProtection="1">
      <alignment horizontal="left" vertical="top" wrapText="1"/>
    </xf>
    <xf numFmtId="0" fontId="41" fillId="0" borderId="31" xfId="4" applyFont="1" applyBorder="1" applyAlignment="1" applyProtection="1">
      <alignment horizontal="left" vertical="top" wrapText="1"/>
    </xf>
    <xf numFmtId="0" fontId="41" fillId="0" borderId="32" xfId="4" applyFont="1" applyBorder="1" applyAlignment="1" applyProtection="1">
      <alignment horizontal="left" vertical="top" wrapText="1"/>
    </xf>
    <xf numFmtId="0" fontId="41" fillId="0" borderId="33" xfId="4" applyFont="1" applyBorder="1" applyAlignment="1" applyProtection="1">
      <alignment horizontal="left" vertical="top" wrapText="1"/>
    </xf>
    <xf numFmtId="0" fontId="38" fillId="3" borderId="49" xfId="0" applyFont="1" applyFill="1" applyBorder="1" applyAlignment="1">
      <alignment horizontal="center" wrapText="1"/>
    </xf>
    <xf numFmtId="0" fontId="38" fillId="3" borderId="0" xfId="0" applyFont="1" applyFill="1" applyAlignment="1">
      <alignment horizontal="center" wrapText="1"/>
    </xf>
    <xf numFmtId="0" fontId="48" fillId="0" borderId="0" xfId="21" applyFont="1" applyAlignment="1">
      <alignment horizontal="left" vertical="top" wrapText="1"/>
    </xf>
    <xf numFmtId="0" fontId="36" fillId="0" borderId="31" xfId="54" applyFont="1" applyBorder="1" applyAlignment="1">
      <alignment horizontal="left"/>
    </xf>
    <xf numFmtId="0" fontId="36" fillId="0" borderId="32" xfId="54" applyFont="1" applyBorder="1" applyAlignment="1">
      <alignment horizontal="left"/>
    </xf>
    <xf numFmtId="0" fontId="36" fillId="0" borderId="32" xfId="0" applyFont="1" applyBorder="1"/>
    <xf numFmtId="0" fontId="41" fillId="0" borderId="31" xfId="21" applyFont="1" applyBorder="1" applyAlignment="1">
      <alignment horizontal="left" wrapText="1"/>
    </xf>
    <xf numFmtId="0" fontId="41" fillId="0" borderId="32" xfId="21" applyFont="1" applyBorder="1" applyAlignment="1">
      <alignment horizontal="left" wrapText="1"/>
    </xf>
    <xf numFmtId="0" fontId="41" fillId="0" borderId="33" xfId="21" applyFont="1" applyBorder="1" applyAlignment="1">
      <alignment horizontal="left" wrapText="1"/>
    </xf>
    <xf numFmtId="0" fontId="41" fillId="0" borderId="31" xfId="21" applyFont="1" applyBorder="1" applyAlignment="1">
      <alignment horizontal="left" vertical="center" wrapText="1"/>
    </xf>
    <xf numFmtId="0" fontId="41" fillId="0" borderId="32" xfId="21" applyFont="1" applyBorder="1" applyAlignment="1">
      <alignment horizontal="left" vertical="center" wrapText="1"/>
    </xf>
    <xf numFmtId="0" fontId="41" fillId="0" borderId="33" xfId="21" applyFont="1" applyBorder="1" applyAlignment="1">
      <alignment horizontal="left" vertical="center" wrapText="1"/>
    </xf>
    <xf numFmtId="0" fontId="36" fillId="0" borderId="31" xfId="54" applyFont="1" applyBorder="1" applyAlignment="1">
      <alignment horizontal="left" vertical="top" wrapText="1"/>
    </xf>
    <xf numFmtId="0" fontId="36" fillId="0" borderId="32" xfId="54" applyFont="1" applyBorder="1" applyAlignment="1">
      <alignment horizontal="left" vertical="top" wrapText="1"/>
    </xf>
    <xf numFmtId="0" fontId="36" fillId="0" borderId="33" xfId="54" applyFont="1" applyBorder="1" applyAlignment="1">
      <alignment horizontal="left" vertical="top" wrapText="1"/>
    </xf>
    <xf numFmtId="9" fontId="36" fillId="0" borderId="24" xfId="41" applyFont="1" applyBorder="1" applyAlignment="1" applyProtection="1">
      <alignment horizontal="left" vertical="top" wrapText="1"/>
      <protection locked="0"/>
    </xf>
    <xf numFmtId="9" fontId="36" fillId="0" borderId="25" xfId="41" applyFont="1" applyBorder="1" applyAlignment="1" applyProtection="1">
      <alignment horizontal="left" vertical="top" wrapText="1"/>
      <protection locked="0"/>
    </xf>
    <xf numFmtId="9" fontId="36" fillId="0" borderId="37" xfId="41" applyFont="1" applyBorder="1" applyAlignment="1" applyProtection="1">
      <alignment horizontal="left" vertical="top" wrapText="1"/>
      <protection locked="0"/>
    </xf>
    <xf numFmtId="0" fontId="38" fillId="3" borderId="31" xfId="0" applyFont="1" applyFill="1" applyBorder="1" applyAlignment="1">
      <alignment horizontal="center"/>
    </xf>
    <xf numFmtId="0" fontId="38" fillId="3" borderId="33" xfId="0" applyFont="1" applyFill="1" applyBorder="1" applyAlignment="1">
      <alignment horizontal="center"/>
    </xf>
    <xf numFmtId="0" fontId="36" fillId="5" borderId="24" xfId="0" applyFont="1" applyFill="1" applyBorder="1" applyAlignment="1" applyProtection="1">
      <alignment horizontal="center" vertical="center"/>
      <protection locked="0"/>
    </xf>
    <xf numFmtId="0" fontId="36" fillId="5" borderId="28" xfId="0" applyFont="1" applyFill="1" applyBorder="1" applyAlignment="1" applyProtection="1">
      <alignment horizontal="center" vertical="center"/>
      <protection locked="0"/>
    </xf>
    <xf numFmtId="0" fontId="35" fillId="0" borderId="20" xfId="0" applyFont="1" applyBorder="1" applyAlignment="1">
      <alignment horizontal="left" vertical="top" wrapText="1"/>
    </xf>
    <xf numFmtId="0" fontId="35" fillId="0" borderId="21" xfId="0" applyFont="1" applyBorder="1" applyAlignment="1">
      <alignment horizontal="left" vertical="top" wrapText="1"/>
    </xf>
    <xf numFmtId="0" fontId="35" fillId="0" borderId="58" xfId="0" applyFont="1" applyBorder="1" applyAlignment="1">
      <alignment horizontal="left" vertical="top" wrapText="1"/>
    </xf>
    <xf numFmtId="0" fontId="36" fillId="0" borderId="49" xfId="0" applyFont="1" applyBorder="1" applyAlignment="1" applyProtection="1">
      <alignment horizontal="left" vertical="top" wrapText="1"/>
      <protection locked="0"/>
    </xf>
    <xf numFmtId="0" fontId="36" fillId="0" borderId="0" xfId="0" applyFont="1" applyAlignment="1" applyProtection="1">
      <alignment horizontal="left" vertical="top" wrapText="1"/>
      <protection locked="0"/>
    </xf>
    <xf numFmtId="0" fontId="36" fillId="0" borderId="46" xfId="0" applyFont="1" applyBorder="1" applyAlignment="1" applyProtection="1">
      <alignment horizontal="left" vertical="top" wrapText="1"/>
      <protection locked="0"/>
    </xf>
    <xf numFmtId="0" fontId="36" fillId="0" borderId="54" xfId="0" applyFont="1" applyBorder="1" applyAlignment="1" applyProtection="1">
      <alignment horizontal="left" vertical="top" wrapText="1"/>
      <protection locked="0"/>
    </xf>
    <xf numFmtId="0" fontId="36" fillId="0" borderId="1" xfId="0" applyFont="1" applyBorder="1" applyAlignment="1" applyProtection="1">
      <alignment horizontal="left" vertical="top" wrapText="1"/>
      <protection locked="0"/>
    </xf>
    <xf numFmtId="0" fontId="36" fillId="0" borderId="45" xfId="0" applyFont="1" applyBorder="1" applyAlignment="1" applyProtection="1">
      <alignment horizontal="left" vertical="top" wrapText="1"/>
      <protection locked="0"/>
    </xf>
    <xf numFmtId="0" fontId="35" fillId="0" borderId="53" xfId="0" applyFont="1" applyBorder="1" applyAlignment="1">
      <alignment horizontal="left" wrapText="1"/>
    </xf>
    <xf numFmtId="0" fontId="35" fillId="0" borderId="19" xfId="0" applyFont="1" applyBorder="1" applyAlignment="1">
      <alignment horizontal="left" wrapText="1"/>
    </xf>
    <xf numFmtId="0" fontId="35" fillId="0" borderId="48" xfId="0" applyFont="1" applyBorder="1" applyAlignment="1">
      <alignment horizontal="left" wrapText="1"/>
    </xf>
    <xf numFmtId="0" fontId="35" fillId="0" borderId="49" xfId="0" applyFont="1" applyBorder="1" applyAlignment="1">
      <alignment horizontal="left" wrapText="1"/>
    </xf>
    <xf numFmtId="0" fontId="35" fillId="0" borderId="0" xfId="0" applyFont="1" applyAlignment="1">
      <alignment horizontal="left" wrapText="1"/>
    </xf>
    <xf numFmtId="0" fontId="35" fillId="0" borderId="46" xfId="0" applyFont="1" applyBorder="1" applyAlignment="1">
      <alignment horizontal="left" wrapText="1"/>
    </xf>
    <xf numFmtId="0" fontId="35" fillId="0" borderId="44" xfId="0" applyFont="1" applyBorder="1" applyAlignment="1">
      <alignment horizontal="left" wrapText="1"/>
    </xf>
    <xf numFmtId="0" fontId="35" fillId="0" borderId="47" xfId="0" applyFont="1" applyBorder="1" applyAlignment="1">
      <alignment horizontal="left" wrapText="1"/>
    </xf>
    <xf numFmtId="0" fontId="35" fillId="0" borderId="35" xfId="0" applyFont="1" applyBorder="1" applyAlignment="1">
      <alignment horizontal="left" wrapText="1"/>
    </xf>
    <xf numFmtId="0" fontId="36" fillId="0" borderId="22"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0" fontId="36" fillId="5" borderId="22" xfId="0" applyFont="1" applyFill="1" applyBorder="1" applyAlignment="1" applyProtection="1">
      <alignment horizontal="center" vertical="center"/>
      <protection locked="0"/>
    </xf>
    <xf numFmtId="0" fontId="36" fillId="5" borderId="27" xfId="0" applyFont="1" applyFill="1" applyBorder="1" applyAlignment="1" applyProtection="1">
      <alignment horizontal="center" vertical="center"/>
      <protection locked="0"/>
    </xf>
    <xf numFmtId="0" fontId="38" fillId="3" borderId="0" xfId="0" applyFont="1" applyFill="1" applyAlignment="1">
      <alignment horizontal="center" vertical="center"/>
    </xf>
    <xf numFmtId="0" fontId="36" fillId="0" borderId="20" xfId="0"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8" fillId="3" borderId="31" xfId="0" applyFont="1" applyFill="1" applyBorder="1" applyAlignment="1">
      <alignment horizontal="center" vertical="center"/>
    </xf>
    <xf numFmtId="0" fontId="38" fillId="3" borderId="33" xfId="0" applyFont="1" applyFill="1" applyBorder="1" applyAlignment="1">
      <alignment horizontal="center" vertical="center"/>
    </xf>
    <xf numFmtId="168" fontId="36" fillId="0" borderId="1" xfId="0" applyNumberFormat="1" applyFont="1" applyBorder="1" applyAlignment="1">
      <alignment horizontal="center" vertical="center"/>
    </xf>
    <xf numFmtId="166" fontId="36" fillId="5" borderId="60" xfId="2" applyNumberFormat="1" applyFont="1" applyFill="1" applyBorder="1" applyAlignment="1" applyProtection="1">
      <alignment horizontal="center"/>
      <protection locked="0"/>
    </xf>
    <xf numFmtId="166" fontId="36" fillId="5" borderId="28" xfId="2" applyNumberFormat="1" applyFont="1" applyFill="1" applyBorder="1" applyAlignment="1" applyProtection="1">
      <alignment horizontal="center"/>
      <protection locked="0"/>
    </xf>
    <xf numFmtId="166" fontId="36" fillId="0" borderId="38" xfId="2" applyNumberFormat="1" applyFont="1" applyBorder="1" applyAlignment="1" applyProtection="1">
      <alignment horizontal="center"/>
      <protection locked="0"/>
    </xf>
    <xf numFmtId="166" fontId="36" fillId="0" borderId="27" xfId="2" applyNumberFormat="1" applyFont="1" applyBorder="1" applyAlignment="1" applyProtection="1">
      <alignment horizontal="center"/>
      <protection locked="0"/>
    </xf>
    <xf numFmtId="0" fontId="38" fillId="8" borderId="54" xfId="52" applyFont="1" applyBorder="1">
      <alignment horizontal="center" vertical="center" wrapText="1"/>
    </xf>
    <xf numFmtId="0" fontId="38" fillId="8" borderId="45" xfId="52" applyFont="1" applyBorder="1">
      <alignment horizontal="center" vertical="center" wrapText="1"/>
    </xf>
    <xf numFmtId="166" fontId="36" fillId="5" borderId="38" xfId="2" applyNumberFormat="1" applyFont="1" applyFill="1" applyBorder="1" applyAlignment="1" applyProtection="1">
      <alignment horizontal="center"/>
      <protection locked="0"/>
    </xf>
    <xf numFmtId="166" fontId="36" fillId="5" borderId="27" xfId="2" applyNumberFormat="1" applyFont="1" applyFill="1" applyBorder="1" applyAlignment="1" applyProtection="1">
      <alignment horizontal="center"/>
      <protection locked="0"/>
    </xf>
    <xf numFmtId="166" fontId="36" fillId="0" borderId="63" xfId="2" applyNumberFormat="1" applyFont="1" applyBorder="1" applyAlignment="1" applyProtection="1">
      <alignment horizontal="center"/>
      <protection locked="0"/>
    </xf>
    <xf numFmtId="166" fontId="36" fillId="0" borderId="26" xfId="2" applyNumberFormat="1" applyFont="1" applyBorder="1" applyAlignment="1" applyProtection="1">
      <alignment horizontal="center"/>
      <protection locked="0"/>
    </xf>
    <xf numFmtId="166" fontId="36" fillId="0" borderId="38" xfId="2" applyNumberFormat="1" applyFont="1" applyFill="1" applyBorder="1" applyAlignment="1" applyProtection="1">
      <alignment horizontal="center"/>
      <protection locked="0"/>
    </xf>
    <xf numFmtId="166" fontId="36" fillId="0" borderId="27" xfId="2" applyNumberFormat="1" applyFont="1" applyFill="1" applyBorder="1" applyAlignment="1" applyProtection="1">
      <alignment horizontal="center"/>
      <protection locked="0"/>
    </xf>
    <xf numFmtId="0" fontId="35" fillId="0" borderId="0" xfId="0" applyFont="1" applyAlignment="1">
      <alignment vertical="top" wrapText="1"/>
    </xf>
    <xf numFmtId="0" fontId="35" fillId="7" borderId="31" xfId="0" applyFont="1" applyFill="1" applyBorder="1" applyAlignment="1">
      <alignment horizontal="center"/>
    </xf>
    <xf numFmtId="0" fontId="35" fillId="7" borderId="32" xfId="0" applyFont="1" applyFill="1" applyBorder="1" applyAlignment="1">
      <alignment horizontal="center"/>
    </xf>
    <xf numFmtId="0" fontId="35" fillId="7" borderId="33" xfId="0" applyFont="1" applyFill="1" applyBorder="1" applyAlignment="1">
      <alignment horizontal="center"/>
    </xf>
    <xf numFmtId="0" fontId="38" fillId="3" borderId="49" xfId="0" applyFont="1" applyFill="1" applyBorder="1" applyAlignment="1">
      <alignment horizontal="center" vertical="center"/>
    </xf>
    <xf numFmtId="1" fontId="36" fillId="0" borderId="0" xfId="0" applyNumberFormat="1" applyFont="1" applyAlignment="1">
      <alignment horizontal="left" vertical="center" wrapText="1"/>
    </xf>
    <xf numFmtId="0" fontId="38" fillId="3" borderId="53" xfId="0" applyFont="1" applyFill="1" applyBorder="1" applyAlignment="1">
      <alignment horizontal="center" vertical="center"/>
    </xf>
    <xf numFmtId="0" fontId="38" fillId="3" borderId="19" xfId="0" applyFont="1" applyFill="1" applyBorder="1" applyAlignment="1">
      <alignment horizontal="center" vertical="center"/>
    </xf>
    <xf numFmtId="0" fontId="38" fillId="3" borderId="83" xfId="0" applyFont="1" applyFill="1" applyBorder="1" applyAlignment="1">
      <alignment horizontal="center" vertical="center"/>
    </xf>
    <xf numFmtId="1" fontId="38" fillId="3" borderId="84" xfId="0" applyNumberFormat="1" applyFont="1" applyFill="1" applyBorder="1" applyAlignment="1">
      <alignment horizontal="center" vertical="center"/>
    </xf>
    <xf numFmtId="1" fontId="38" fillId="3" borderId="78" xfId="0" applyNumberFormat="1" applyFont="1" applyFill="1" applyBorder="1" applyAlignment="1">
      <alignment horizontal="center" vertical="center"/>
    </xf>
    <xf numFmtId="1" fontId="38" fillId="3" borderId="85" xfId="0" applyNumberFormat="1" applyFont="1" applyFill="1" applyBorder="1" applyAlignment="1">
      <alignment horizontal="center" vertical="center"/>
    </xf>
    <xf numFmtId="1" fontId="41" fillId="0" borderId="23" xfId="0" applyNumberFormat="1" applyFont="1" applyBorder="1" applyAlignment="1">
      <alignment horizontal="left" vertical="top" wrapText="1"/>
    </xf>
    <xf numFmtId="1" fontId="41" fillId="0" borderId="36" xfId="0" applyNumberFormat="1" applyFont="1" applyBorder="1" applyAlignment="1">
      <alignment horizontal="left" vertical="top" wrapText="1"/>
    </xf>
    <xf numFmtId="0" fontId="53" fillId="0" borderId="0" xfId="0" applyFont="1" applyAlignment="1">
      <alignment horizontal="right" vertical="center"/>
    </xf>
    <xf numFmtId="0" fontId="36" fillId="0" borderId="53" xfId="0" applyFont="1" applyBorder="1" applyAlignment="1" applyProtection="1">
      <alignment horizontal="center"/>
      <protection locked="0"/>
    </xf>
    <xf numFmtId="0" fontId="36" fillId="0" borderId="19" xfId="0" applyFont="1" applyBorder="1" applyAlignment="1" applyProtection="1">
      <alignment horizontal="center"/>
      <protection locked="0"/>
    </xf>
    <xf numFmtId="0" fontId="36" fillId="0" borderId="48" xfId="0" applyFont="1" applyBorder="1" applyAlignment="1" applyProtection="1">
      <alignment horizontal="center"/>
      <protection locked="0"/>
    </xf>
    <xf numFmtId="0" fontId="36" fillId="0" borderId="49" xfId="0" applyFont="1" applyBorder="1" applyAlignment="1" applyProtection="1">
      <alignment horizontal="center"/>
      <protection locked="0"/>
    </xf>
    <xf numFmtId="0" fontId="36" fillId="0" borderId="0" xfId="0" applyFont="1" applyAlignment="1" applyProtection="1">
      <alignment horizontal="center"/>
      <protection locked="0"/>
    </xf>
    <xf numFmtId="0" fontId="36" fillId="0" borderId="46" xfId="0" applyFont="1" applyBorder="1" applyAlignment="1" applyProtection="1">
      <alignment horizontal="center"/>
      <protection locked="0"/>
    </xf>
    <xf numFmtId="0" fontId="36" fillId="0" borderId="54" xfId="0" applyFont="1" applyBorder="1" applyAlignment="1" applyProtection="1">
      <alignment horizontal="center"/>
      <protection locked="0"/>
    </xf>
    <xf numFmtId="0" fontId="36" fillId="0" borderId="1" xfId="0" applyFont="1" applyBorder="1" applyAlignment="1" applyProtection="1">
      <alignment horizontal="center"/>
      <protection locked="0"/>
    </xf>
    <xf numFmtId="0" fontId="36" fillId="0" borderId="45" xfId="0" applyFont="1" applyBorder="1" applyAlignment="1" applyProtection="1">
      <alignment horizontal="center"/>
      <protection locked="0"/>
    </xf>
    <xf numFmtId="168" fontId="35" fillId="0" borderId="20" xfId="0" applyNumberFormat="1" applyFont="1" applyBorder="1" applyAlignment="1">
      <alignment horizontal="left" vertical="top" wrapText="1"/>
    </xf>
    <xf numFmtId="168" fontId="35" fillId="0" borderId="21" xfId="0" applyNumberFormat="1" applyFont="1" applyBorder="1" applyAlignment="1">
      <alignment horizontal="left" vertical="top" wrapText="1"/>
    </xf>
    <xf numFmtId="168" fontId="35" fillId="0" borderId="58" xfId="0" applyNumberFormat="1" applyFont="1" applyBorder="1" applyAlignment="1">
      <alignment horizontal="left" vertical="top" wrapText="1"/>
    </xf>
    <xf numFmtId="168" fontId="36" fillId="0" borderId="24" xfId="0" applyNumberFormat="1" applyFont="1" applyBorder="1" applyAlignment="1" applyProtection="1">
      <alignment horizontal="left" vertical="top" wrapText="1"/>
      <protection locked="0"/>
    </xf>
    <xf numFmtId="168" fontId="36" fillId="0" borderId="25" xfId="0" applyNumberFormat="1" applyFont="1" applyBorder="1" applyAlignment="1" applyProtection="1">
      <alignment horizontal="left" vertical="top" wrapText="1"/>
      <protection locked="0"/>
    </xf>
    <xf numFmtId="168" fontId="36" fillId="0" borderId="37" xfId="0" applyNumberFormat="1" applyFont="1" applyBorder="1" applyAlignment="1" applyProtection="1">
      <alignment horizontal="left" vertical="top" wrapText="1"/>
      <protection locked="0"/>
    </xf>
    <xf numFmtId="0" fontId="36" fillId="0" borderId="31" xfId="0" applyFont="1" applyBorder="1" applyAlignment="1">
      <alignment horizontal="left" wrapText="1"/>
    </xf>
    <xf numFmtId="0" fontId="36" fillId="0" borderId="32" xfId="0" applyFont="1" applyBorder="1" applyAlignment="1">
      <alignment horizontal="left" wrapText="1"/>
    </xf>
    <xf numFmtId="0" fontId="36" fillId="0" borderId="33" xfId="0" applyFont="1" applyBorder="1" applyAlignment="1">
      <alignment horizontal="left" wrapText="1"/>
    </xf>
    <xf numFmtId="169" fontId="35" fillId="0" borderId="53" xfId="0" applyNumberFormat="1" applyFont="1" applyBorder="1" applyAlignment="1">
      <alignment horizontal="left" wrapText="1"/>
    </xf>
    <xf numFmtId="0" fontId="36" fillId="0" borderId="59" xfId="0" applyFont="1" applyBorder="1" applyAlignment="1" applyProtection="1">
      <alignment horizontal="left" vertical="top" wrapText="1"/>
      <protection locked="0"/>
    </xf>
    <xf numFmtId="0" fontId="36" fillId="0" borderId="68" xfId="0" applyFont="1" applyBorder="1" applyAlignment="1" applyProtection="1">
      <alignment horizontal="left" vertical="top" wrapText="1"/>
      <protection locked="0"/>
    </xf>
    <xf numFmtId="0" fontId="36" fillId="0" borderId="39" xfId="0" applyFont="1" applyBorder="1" applyAlignment="1" applyProtection="1">
      <alignment horizontal="left" vertical="top" wrapText="1"/>
      <protection locked="0"/>
    </xf>
    <xf numFmtId="0" fontId="35" fillId="0" borderId="53" xfId="0" applyFont="1" applyBorder="1" applyAlignment="1">
      <alignment horizontal="left" vertical="center" wrapText="1"/>
    </xf>
    <xf numFmtId="0" fontId="35" fillId="0" borderId="19" xfId="0" applyFont="1" applyBorder="1" applyAlignment="1">
      <alignment horizontal="left" vertical="center" wrapText="1"/>
    </xf>
    <xf numFmtId="0" fontId="35" fillId="0" borderId="48" xfId="0" applyFont="1" applyBorder="1" applyAlignment="1">
      <alignment horizontal="left" vertical="center" wrapText="1"/>
    </xf>
    <xf numFmtId="0" fontId="35" fillId="0" borderId="44" xfId="0" applyFont="1" applyBorder="1" applyAlignment="1">
      <alignment horizontal="left" vertical="center" wrapText="1"/>
    </xf>
    <xf numFmtId="0" fontId="35" fillId="0" borderId="47" xfId="0" applyFont="1" applyBorder="1" applyAlignment="1">
      <alignment horizontal="left" vertical="center" wrapText="1"/>
    </xf>
    <xf numFmtId="0" fontId="35" fillId="0" borderId="35" xfId="0" applyFont="1" applyBorder="1" applyAlignment="1">
      <alignment horizontal="left" vertical="center" wrapText="1"/>
    </xf>
    <xf numFmtId="0" fontId="38" fillId="3" borderId="32" xfId="0" applyFont="1" applyFill="1" applyBorder="1" applyAlignment="1">
      <alignment horizontal="center"/>
    </xf>
    <xf numFmtId="0" fontId="38" fillId="3" borderId="41" xfId="0" applyFont="1" applyFill="1" applyBorder="1" applyAlignment="1">
      <alignment horizontal="center"/>
    </xf>
    <xf numFmtId="0" fontId="38" fillId="3" borderId="42" xfId="0" applyFont="1" applyFill="1" applyBorder="1" applyAlignment="1">
      <alignment horizontal="center"/>
    </xf>
    <xf numFmtId="169" fontId="35" fillId="0" borderId="19" xfId="0" applyNumberFormat="1" applyFont="1" applyBorder="1" applyAlignment="1">
      <alignment horizontal="left" wrapText="1"/>
    </xf>
    <xf numFmtId="169" fontId="35" fillId="0" borderId="48" xfId="0" applyNumberFormat="1" applyFont="1" applyBorder="1" applyAlignment="1">
      <alignment horizontal="left" wrapText="1"/>
    </xf>
    <xf numFmtId="169" fontId="35" fillId="0" borderId="49" xfId="0" applyNumberFormat="1" applyFont="1" applyBorder="1" applyAlignment="1">
      <alignment horizontal="left" wrapText="1"/>
    </xf>
    <xf numFmtId="169" fontId="35" fillId="0" borderId="0" xfId="0" applyNumberFormat="1" applyFont="1" applyAlignment="1">
      <alignment horizontal="left" wrapText="1"/>
    </xf>
    <xf numFmtId="169" fontId="35" fillId="0" borderId="46" xfId="0" applyNumberFormat="1" applyFont="1" applyBorder="1" applyAlignment="1">
      <alignment horizontal="left" wrapText="1"/>
    </xf>
    <xf numFmtId="169" fontId="35" fillId="0" borderId="44" xfId="0" applyNumberFormat="1" applyFont="1" applyBorder="1" applyAlignment="1">
      <alignment horizontal="left" wrapText="1"/>
    </xf>
    <xf numFmtId="169" fontId="35" fillId="0" borderId="47" xfId="0" applyNumberFormat="1" applyFont="1" applyBorder="1" applyAlignment="1">
      <alignment horizontal="left" wrapText="1"/>
    </xf>
    <xf numFmtId="169" fontId="35" fillId="0" borderId="35" xfId="0" applyNumberFormat="1" applyFont="1" applyBorder="1" applyAlignment="1">
      <alignment horizontal="left" wrapText="1"/>
    </xf>
    <xf numFmtId="0" fontId="36" fillId="0" borderId="59" xfId="0" applyFont="1" applyBorder="1" applyAlignment="1" applyProtection="1">
      <alignment horizontal="center" vertical="top" wrapText="1"/>
      <protection locked="0"/>
    </xf>
    <xf numFmtId="0" fontId="36" fillId="0" borderId="68" xfId="0" applyFont="1" applyBorder="1" applyAlignment="1" applyProtection="1">
      <alignment horizontal="center" vertical="top" wrapText="1"/>
      <protection locked="0"/>
    </xf>
    <xf numFmtId="0" fontId="36" fillId="0" borderId="39" xfId="0" applyFont="1" applyBorder="1" applyAlignment="1" applyProtection="1">
      <alignment horizontal="center" vertical="top" wrapText="1"/>
      <protection locked="0"/>
    </xf>
    <xf numFmtId="0" fontId="36" fillId="0" borderId="49" xfId="0" applyFont="1" applyBorder="1" applyAlignment="1" applyProtection="1">
      <alignment horizontal="center" vertical="top" wrapText="1"/>
      <protection locked="0"/>
    </xf>
    <xf numFmtId="0" fontId="36" fillId="0" borderId="0" xfId="0" applyFont="1" applyAlignment="1" applyProtection="1">
      <alignment horizontal="center" vertical="top" wrapText="1"/>
      <protection locked="0"/>
    </xf>
    <xf numFmtId="0" fontId="36" fillId="0" borderId="46" xfId="0" applyFont="1" applyBorder="1" applyAlignment="1" applyProtection="1">
      <alignment horizontal="center" vertical="top" wrapText="1"/>
      <protection locked="0"/>
    </xf>
    <xf numFmtId="0" fontId="36" fillId="0" borderId="54" xfId="0" applyFont="1" applyBorder="1" applyAlignment="1" applyProtection="1">
      <alignment horizontal="center" vertical="top" wrapText="1"/>
      <protection locked="0"/>
    </xf>
    <xf numFmtId="0" fontId="36" fillId="0" borderId="1" xfId="0" applyFont="1" applyBorder="1" applyAlignment="1" applyProtection="1">
      <alignment horizontal="center" vertical="top" wrapText="1"/>
      <protection locked="0"/>
    </xf>
    <xf numFmtId="0" fontId="36" fillId="0" borderId="45" xfId="0" applyFont="1" applyBorder="1" applyAlignment="1" applyProtection="1">
      <alignment horizontal="center" vertical="top" wrapText="1"/>
      <protection locked="0"/>
    </xf>
    <xf numFmtId="0" fontId="38" fillId="0" borderId="0" xfId="0" applyFont="1" applyAlignment="1">
      <alignment horizontal="center"/>
    </xf>
    <xf numFmtId="0" fontId="35" fillId="0" borderId="2" xfId="0" applyFont="1" applyBorder="1" applyAlignment="1">
      <alignment horizontal="left" vertical="top" wrapText="1"/>
    </xf>
    <xf numFmtId="0" fontId="35" fillId="0" borderId="50" xfId="0" applyFont="1" applyBorder="1" applyAlignment="1">
      <alignment horizontal="left" vertical="top" wrapText="1"/>
    </xf>
    <xf numFmtId="1" fontId="36" fillId="5" borderId="22" xfId="0" applyNumberFormat="1" applyFont="1" applyFill="1" applyBorder="1" applyAlignment="1">
      <alignment horizontal="left"/>
    </xf>
    <xf numFmtId="1" fontId="36" fillId="5" borderId="36" xfId="0" applyNumberFormat="1" applyFont="1" applyFill="1" applyBorder="1" applyAlignment="1">
      <alignment horizontal="left"/>
    </xf>
    <xf numFmtId="1" fontId="36" fillId="0" borderId="22" xfId="0" applyNumberFormat="1" applyFont="1" applyBorder="1" applyAlignment="1">
      <alignment horizontal="left"/>
    </xf>
    <xf numFmtId="1" fontId="36" fillId="0" borderId="36" xfId="0" applyNumberFormat="1" applyFont="1" applyBorder="1" applyAlignment="1">
      <alignment horizontal="left"/>
    </xf>
    <xf numFmtId="1" fontId="36" fillId="5" borderId="54" xfId="0" applyNumberFormat="1" applyFont="1" applyFill="1" applyBorder="1" applyAlignment="1">
      <alignment horizontal="center"/>
    </xf>
    <xf numFmtId="1" fontId="36" fillId="5" borderId="45" xfId="0" applyNumberFormat="1" applyFont="1" applyFill="1" applyBorder="1" applyAlignment="1">
      <alignment horizontal="center"/>
    </xf>
    <xf numFmtId="1" fontId="36" fillId="0" borderId="44" xfId="0" applyNumberFormat="1" applyFont="1" applyBorder="1" applyAlignment="1">
      <alignment horizontal="center"/>
    </xf>
    <xf numFmtId="1" fontId="36" fillId="0" borderId="35" xfId="0" applyNumberFormat="1" applyFont="1" applyBorder="1" applyAlignment="1">
      <alignment horizontal="center"/>
    </xf>
    <xf numFmtId="1" fontId="36" fillId="0" borderId="20" xfId="0" applyNumberFormat="1" applyFont="1" applyBorder="1" applyAlignment="1">
      <alignment horizontal="center"/>
    </xf>
    <xf numFmtId="1" fontId="36" fillId="0" borderId="58" xfId="0" applyNumberFormat="1" applyFont="1" applyBorder="1" applyAlignment="1">
      <alignment horizontal="center"/>
    </xf>
    <xf numFmtId="1" fontId="36" fillId="5" borderId="44" xfId="0" applyNumberFormat="1" applyFont="1" applyFill="1" applyBorder="1" applyAlignment="1">
      <alignment horizontal="center"/>
    </xf>
    <xf numFmtId="1" fontId="36" fillId="5" borderId="35" xfId="0" applyNumberFormat="1" applyFont="1" applyFill="1" applyBorder="1" applyAlignment="1">
      <alignment horizontal="center"/>
    </xf>
    <xf numFmtId="0" fontId="36" fillId="4" borderId="31" xfId="0" applyFont="1" applyFill="1" applyBorder="1" applyAlignment="1">
      <alignment horizontal="center" wrapText="1"/>
    </xf>
    <xf numFmtId="0" fontId="36" fillId="4" borderId="32" xfId="0" applyFont="1" applyFill="1" applyBorder="1" applyAlignment="1">
      <alignment horizontal="center" wrapText="1"/>
    </xf>
    <xf numFmtId="0" fontId="36" fillId="4" borderId="33" xfId="0" applyFont="1" applyFill="1" applyBorder="1" applyAlignment="1">
      <alignment horizontal="center" wrapText="1"/>
    </xf>
    <xf numFmtId="0" fontId="35" fillId="0" borderId="53" xfId="0" applyFont="1" applyBorder="1" applyAlignment="1">
      <alignment horizontal="left" vertical="top" wrapText="1"/>
    </xf>
    <xf numFmtId="0" fontId="35" fillId="0" borderId="19" xfId="0" applyFont="1" applyBorder="1" applyAlignment="1">
      <alignment horizontal="left" vertical="top" wrapText="1"/>
    </xf>
    <xf numFmtId="0" fontId="35" fillId="0" borderId="48" xfId="0" applyFont="1" applyBorder="1" applyAlignment="1">
      <alignment horizontal="left" vertical="top" wrapText="1"/>
    </xf>
    <xf numFmtId="0" fontId="35" fillId="0" borderId="49" xfId="0" applyFont="1" applyBorder="1" applyAlignment="1">
      <alignment horizontal="left" vertical="top" wrapText="1"/>
    </xf>
    <xf numFmtId="0" fontId="35" fillId="0" borderId="0" xfId="0" applyFont="1" applyAlignment="1">
      <alignment horizontal="left" vertical="top" wrapText="1"/>
    </xf>
    <xf numFmtId="0" fontId="35" fillId="0" borderId="46" xfId="0" applyFont="1" applyBorder="1" applyAlignment="1">
      <alignment horizontal="left" vertical="top" wrapText="1"/>
    </xf>
    <xf numFmtId="1" fontId="36" fillId="0" borderId="24" xfId="0" applyNumberFormat="1" applyFont="1" applyBorder="1" applyAlignment="1">
      <alignment horizontal="left"/>
    </xf>
    <xf numFmtId="1" fontId="36" fillId="0" borderId="37" xfId="0" applyNumberFormat="1" applyFont="1" applyBorder="1" applyAlignment="1">
      <alignment horizontal="left"/>
    </xf>
    <xf numFmtId="0" fontId="35" fillId="0" borderId="0" xfId="0" applyFont="1" applyAlignment="1">
      <alignment horizontal="right" wrapText="1"/>
    </xf>
    <xf numFmtId="1" fontId="36" fillId="0" borderId="44" xfId="0" applyNumberFormat="1" applyFont="1" applyBorder="1" applyAlignment="1">
      <alignment horizontal="left"/>
    </xf>
    <xf numFmtId="1" fontId="36" fillId="0" borderId="35" xfId="0" applyNumberFormat="1" applyFont="1" applyBorder="1" applyAlignment="1">
      <alignment horizontal="left"/>
    </xf>
    <xf numFmtId="0" fontId="36" fillId="0" borderId="59" xfId="0" applyFont="1" applyBorder="1" applyAlignment="1" applyProtection="1">
      <alignment horizontal="left" vertical="top"/>
      <protection locked="0"/>
    </xf>
    <xf numFmtId="0" fontId="36" fillId="0" borderId="68" xfId="0" applyFont="1" applyBorder="1" applyAlignment="1" applyProtection="1">
      <alignment horizontal="left" vertical="top"/>
      <protection locked="0"/>
    </xf>
    <xf numFmtId="0" fontId="36" fillId="0" borderId="39" xfId="0" applyFont="1" applyBorder="1" applyAlignment="1" applyProtection="1">
      <alignment horizontal="left" vertical="top"/>
      <protection locked="0"/>
    </xf>
    <xf numFmtId="0" fontId="36" fillId="0" borderId="54" xfId="0" applyFont="1" applyBorder="1" applyAlignment="1" applyProtection="1">
      <alignment horizontal="left" vertical="top"/>
      <protection locked="0"/>
    </xf>
    <xf numFmtId="0" fontId="36" fillId="0" borderId="1" xfId="0" applyFont="1" applyBorder="1" applyAlignment="1" applyProtection="1">
      <alignment horizontal="left" vertical="top"/>
      <protection locked="0"/>
    </xf>
    <xf numFmtId="0" fontId="36" fillId="0" borderId="45" xfId="0" applyFont="1" applyBorder="1" applyAlignment="1" applyProtection="1">
      <alignment horizontal="left" vertical="top"/>
      <protection locked="0"/>
    </xf>
    <xf numFmtId="0" fontId="35" fillId="7" borderId="56" xfId="0" applyFont="1" applyFill="1" applyBorder="1" applyAlignment="1" applyProtection="1">
      <alignment horizontal="center" wrapText="1"/>
      <protection hidden="1"/>
    </xf>
    <xf numFmtId="0" fontId="35" fillId="7" borderId="55" xfId="0" applyFont="1" applyFill="1" applyBorder="1" applyAlignment="1" applyProtection="1">
      <alignment horizontal="center" wrapText="1"/>
      <protection hidden="1"/>
    </xf>
    <xf numFmtId="0" fontId="41" fillId="7" borderId="31" xfId="0" applyFont="1" applyFill="1" applyBorder="1" applyAlignment="1">
      <alignment horizontal="center"/>
    </xf>
    <xf numFmtId="0" fontId="41" fillId="7" borderId="32" xfId="0" applyFont="1" applyFill="1" applyBorder="1" applyAlignment="1">
      <alignment horizontal="center"/>
    </xf>
    <xf numFmtId="0" fontId="41" fillId="7" borderId="33" xfId="0" applyFont="1" applyFill="1" applyBorder="1" applyAlignment="1">
      <alignment horizontal="center"/>
    </xf>
    <xf numFmtId="0" fontId="35" fillId="7" borderId="53" xfId="0" applyFont="1" applyFill="1" applyBorder="1" applyAlignment="1">
      <alignment horizontal="center" wrapText="1"/>
    </xf>
    <xf numFmtId="0" fontId="35" fillId="7" borderId="48" xfId="0" applyFont="1" applyFill="1" applyBorder="1" applyAlignment="1">
      <alignment horizontal="center" wrapText="1"/>
    </xf>
    <xf numFmtId="0" fontId="35" fillId="7" borderId="54" xfId="0" applyFont="1" applyFill="1" applyBorder="1" applyAlignment="1">
      <alignment horizontal="center" wrapText="1"/>
    </xf>
    <xf numFmtId="0" fontId="35" fillId="7" borderId="45" xfId="0" applyFont="1" applyFill="1" applyBorder="1" applyAlignment="1">
      <alignment horizontal="center" wrapText="1"/>
    </xf>
    <xf numFmtId="0" fontId="36" fillId="0" borderId="44" xfId="0" applyFont="1" applyBorder="1" applyAlignment="1">
      <alignment horizontal="left"/>
    </xf>
    <xf numFmtId="0" fontId="36" fillId="0" borderId="47" xfId="0" applyFont="1" applyBorder="1" applyAlignment="1">
      <alignment horizontal="left"/>
    </xf>
    <xf numFmtId="0" fontId="36" fillId="0" borderId="35" xfId="0" applyFont="1" applyBorder="1" applyAlignment="1">
      <alignment horizontal="left"/>
    </xf>
    <xf numFmtId="0" fontId="36" fillId="0" borderId="24" xfId="0" applyFont="1" applyBorder="1" applyAlignment="1">
      <alignment horizontal="left"/>
    </xf>
    <xf numFmtId="0" fontId="36" fillId="0" borderId="25" xfId="0" applyFont="1" applyBorder="1" applyAlignment="1">
      <alignment horizontal="left"/>
    </xf>
    <xf numFmtId="0" fontId="36" fillId="0" borderId="37" xfId="0" applyFont="1" applyBorder="1" applyAlignment="1">
      <alignment horizontal="left"/>
    </xf>
    <xf numFmtId="0" fontId="36" fillId="0" borderId="53" xfId="0" applyFont="1" applyBorder="1" applyAlignment="1">
      <alignment horizontal="left" vertical="top" wrapText="1"/>
    </xf>
    <xf numFmtId="0" fontId="36" fillId="0" borderId="19" xfId="0" applyFont="1" applyBorder="1" applyAlignment="1">
      <alignment horizontal="left" vertical="top" wrapText="1"/>
    </xf>
    <xf numFmtId="0" fontId="36" fillId="0" borderId="48" xfId="0" applyFont="1" applyBorder="1" applyAlignment="1">
      <alignment horizontal="left" vertical="top" wrapText="1"/>
    </xf>
    <xf numFmtId="0" fontId="36" fillId="0" borderId="44" xfId="0" applyFont="1" applyBorder="1" applyAlignment="1">
      <alignment horizontal="left" vertical="top" wrapText="1"/>
    </xf>
    <xf numFmtId="0" fontId="36" fillId="0" borderId="47" xfId="0" applyFont="1" applyBorder="1" applyAlignment="1">
      <alignment horizontal="left" vertical="top" wrapText="1"/>
    </xf>
    <xf numFmtId="0" fontId="36" fillId="0" borderId="35" xfId="0" applyFont="1" applyBorder="1" applyAlignment="1">
      <alignment horizontal="left" vertical="top" wrapText="1"/>
    </xf>
    <xf numFmtId="0" fontId="35" fillId="0" borderId="51" xfId="0" applyFont="1" applyBorder="1" applyAlignment="1">
      <alignment horizontal="left"/>
    </xf>
    <xf numFmtId="0" fontId="35" fillId="0" borderId="52" xfId="0" applyFont="1" applyBorder="1" applyAlignment="1">
      <alignment horizontal="left"/>
    </xf>
    <xf numFmtId="0" fontId="36" fillId="0" borderId="2" xfId="0" applyFont="1" applyBorder="1" applyAlignment="1">
      <alignment horizontal="left" wrapText="1"/>
    </xf>
    <xf numFmtId="0" fontId="36" fillId="0" borderId="50" xfId="0" applyFont="1" applyBorder="1" applyAlignment="1">
      <alignment horizontal="left" wrapText="1"/>
    </xf>
    <xf numFmtId="0" fontId="36" fillId="0" borderId="55" xfId="0" applyFont="1" applyBorder="1" applyAlignment="1" applyProtection="1">
      <alignment horizontal="left" vertical="top" wrapText="1"/>
      <protection locked="0"/>
    </xf>
    <xf numFmtId="0" fontId="36" fillId="0" borderId="2" xfId="0" applyFont="1" applyBorder="1" applyAlignment="1" applyProtection="1">
      <alignment horizontal="left" vertical="top" wrapText="1"/>
      <protection locked="0"/>
    </xf>
    <xf numFmtId="0" fontId="35" fillId="0" borderId="2" xfId="0" applyFont="1" applyBorder="1" applyAlignment="1">
      <alignment horizontal="left" wrapText="1"/>
    </xf>
    <xf numFmtId="0" fontId="35" fillId="0" borderId="56" xfId="0" applyFont="1" applyBorder="1" applyAlignment="1">
      <alignment horizontal="left" wrapText="1"/>
    </xf>
    <xf numFmtId="0" fontId="36" fillId="0" borderId="24" xfId="0" applyFont="1" applyBorder="1" applyAlignment="1" applyProtection="1">
      <alignment horizontal="left"/>
      <protection locked="0"/>
    </xf>
    <xf numFmtId="0" fontId="36" fillId="0" borderId="25" xfId="0" applyFont="1" applyBorder="1" applyAlignment="1" applyProtection="1">
      <alignment horizontal="left"/>
      <protection locked="0"/>
    </xf>
    <xf numFmtId="0" fontId="36" fillId="0" borderId="53" xfId="0" applyFont="1" applyBorder="1" applyAlignment="1">
      <alignment horizontal="left" vertical="center" wrapText="1"/>
    </xf>
    <xf numFmtId="0" fontId="36" fillId="0" borderId="19" xfId="0" applyFont="1" applyBorder="1" applyAlignment="1">
      <alignment horizontal="left" vertical="center" wrapText="1"/>
    </xf>
    <xf numFmtId="0" fontId="36" fillId="0" borderId="48" xfId="0" applyFont="1" applyBorder="1" applyAlignment="1">
      <alignment horizontal="left" vertical="center" wrapText="1"/>
    </xf>
    <xf numFmtId="0" fontId="36" fillId="0" borderId="44" xfId="0" applyFont="1" applyBorder="1" applyAlignment="1">
      <alignment horizontal="left" vertical="center" wrapText="1"/>
    </xf>
    <xf numFmtId="0" fontId="36" fillId="0" borderId="47" xfId="0" applyFont="1" applyBorder="1" applyAlignment="1">
      <alignment horizontal="left" vertical="center" wrapText="1"/>
    </xf>
    <xf numFmtId="0" fontId="36" fillId="0" borderId="35" xfId="0" applyFont="1" applyBorder="1" applyAlignment="1">
      <alignment horizontal="left" vertical="center" wrapText="1"/>
    </xf>
    <xf numFmtId="0" fontId="35" fillId="0" borderId="31" xfId="0" applyFont="1" applyBorder="1" applyAlignment="1">
      <alignment horizontal="left" vertical="top" wrapText="1"/>
    </xf>
    <xf numFmtId="0" fontId="35" fillId="0" borderId="32" xfId="0" applyFont="1" applyBorder="1" applyAlignment="1">
      <alignment horizontal="left" vertical="top" wrapText="1"/>
    </xf>
    <xf numFmtId="0" fontId="35" fillId="0" borderId="33" xfId="0" applyFont="1" applyBorder="1" applyAlignment="1">
      <alignment horizontal="left" vertical="top" wrapText="1"/>
    </xf>
    <xf numFmtId="0" fontId="11" fillId="3" borderId="49" xfId="0" applyFont="1" applyFill="1" applyBorder="1" applyAlignment="1">
      <alignment horizontal="center" vertical="center"/>
    </xf>
    <xf numFmtId="0" fontId="11" fillId="3" borderId="0" xfId="0" applyFont="1" applyFill="1" applyAlignment="1">
      <alignment horizontal="center" vertical="center"/>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6" fillId="0" borderId="58" xfId="0" applyFont="1" applyBorder="1" applyAlignment="1">
      <alignment horizontal="left" vertical="center"/>
    </xf>
    <xf numFmtId="168" fontId="0" fillId="0" borderId="0" xfId="0" applyNumberFormat="1" applyAlignment="1">
      <alignment horizontal="center" vertical="top"/>
    </xf>
    <xf numFmtId="0" fontId="0" fillId="0" borderId="59" xfId="0" applyBorder="1" applyAlignment="1" applyProtection="1">
      <alignment horizontal="left" vertical="top" wrapText="1"/>
      <protection locked="0"/>
    </xf>
    <xf numFmtId="0" fontId="0" fillId="0" borderId="6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4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54"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20" xfId="0" applyBorder="1" applyAlignment="1">
      <alignment horizontal="left" vertical="center"/>
    </xf>
    <xf numFmtId="0" fontId="0" fillId="0" borderId="21" xfId="0" applyBorder="1" applyAlignment="1">
      <alignment horizontal="left" vertical="center"/>
    </xf>
    <xf numFmtId="0" fontId="0" fillId="0" borderId="58" xfId="0" applyBorder="1" applyAlignment="1">
      <alignment horizontal="left" vertical="center"/>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58" xfId="0" applyFont="1" applyBorder="1" applyAlignment="1">
      <alignment horizontal="left" vertical="center"/>
    </xf>
    <xf numFmtId="0" fontId="6" fillId="0" borderId="53" xfId="0" applyFont="1" applyBorder="1" applyAlignment="1">
      <alignment horizontal="left" vertical="center" wrapText="1"/>
    </xf>
    <xf numFmtId="0" fontId="6" fillId="0" borderId="19" xfId="0" applyFont="1" applyBorder="1" applyAlignment="1">
      <alignment horizontal="left" vertical="center" wrapText="1"/>
    </xf>
    <xf numFmtId="0" fontId="0" fillId="0" borderId="19" xfId="0" applyBorder="1"/>
    <xf numFmtId="0" fontId="0" fillId="0" borderId="48" xfId="0" applyBorder="1"/>
    <xf numFmtId="0" fontId="0" fillId="0" borderId="44" xfId="0" applyBorder="1"/>
    <xf numFmtId="0" fontId="0" fillId="0" borderId="47" xfId="0" applyBorder="1"/>
    <xf numFmtId="0" fontId="0" fillId="0" borderId="35" xfId="0" applyBorder="1"/>
    <xf numFmtId="0" fontId="49" fillId="0" borderId="53" xfId="4" applyFont="1" applyBorder="1" applyAlignment="1" applyProtection="1">
      <alignment horizontal="left" vertical="top" wrapText="1"/>
    </xf>
    <xf numFmtId="0" fontId="49" fillId="0" borderId="19" xfId="4" applyFont="1" applyBorder="1" applyAlignment="1" applyProtection="1">
      <alignment horizontal="left" vertical="top" wrapText="1"/>
    </xf>
    <xf numFmtId="0" fontId="49" fillId="0" borderId="48" xfId="4" applyFont="1" applyBorder="1" applyAlignment="1" applyProtection="1">
      <alignment horizontal="left" vertical="top" wrapText="1"/>
    </xf>
    <xf numFmtId="0" fontId="49" fillId="0" borderId="44" xfId="4" applyFont="1" applyBorder="1" applyAlignment="1" applyProtection="1">
      <alignment horizontal="left" vertical="top" wrapText="1"/>
    </xf>
    <xf numFmtId="0" fontId="49" fillId="0" borderId="47" xfId="4" applyFont="1" applyBorder="1" applyAlignment="1" applyProtection="1">
      <alignment horizontal="left" vertical="top" wrapText="1"/>
    </xf>
    <xf numFmtId="0" fontId="49" fillId="0" borderId="35" xfId="4" applyFont="1" applyBorder="1" applyAlignment="1" applyProtection="1">
      <alignment horizontal="left" vertical="top" wrapText="1"/>
    </xf>
    <xf numFmtId="0" fontId="0" fillId="0" borderId="0" xfId="0" applyAlignment="1">
      <alignment horizontal="left" vertical="center"/>
    </xf>
    <xf numFmtId="0" fontId="9" fillId="3" borderId="2" xfId="0" applyFont="1" applyFill="1" applyBorder="1" applyAlignment="1">
      <alignment horizontal="center" vertical="center" wrapText="1"/>
    </xf>
    <xf numFmtId="0" fontId="13" fillId="0" borderId="74" xfId="4" applyFont="1" applyBorder="1" applyAlignment="1" applyProtection="1">
      <alignment horizontal="left" vertical="top" wrapText="1"/>
    </xf>
    <xf numFmtId="0" fontId="13" fillId="0" borderId="68" xfId="4" applyFont="1" applyBorder="1" applyAlignment="1" applyProtection="1">
      <alignment horizontal="left" vertical="top" wrapText="1"/>
    </xf>
    <xf numFmtId="0" fontId="13" fillId="0" borderId="39" xfId="4" applyFont="1" applyBorder="1" applyAlignment="1" applyProtection="1">
      <alignment horizontal="left" vertical="top" wrapText="1"/>
    </xf>
    <xf numFmtId="0" fontId="0" fillId="0" borderId="13"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9" fillId="3" borderId="2" xfId="0" applyFont="1" applyFill="1" applyBorder="1" applyAlignment="1">
      <alignment horizontal="center" vertical="center"/>
    </xf>
    <xf numFmtId="0" fontId="0" fillId="0" borderId="15" xfId="0" applyBorder="1" applyAlignment="1" applyProtection="1">
      <alignment horizontal="center" vertical="center"/>
      <protection locked="0"/>
    </xf>
    <xf numFmtId="168" fontId="0" fillId="0" borderId="1" xfId="0" applyNumberFormat="1" applyBorder="1" applyAlignment="1">
      <alignment horizontal="center" vertical="center"/>
    </xf>
    <xf numFmtId="0" fontId="13" fillId="0" borderId="75" xfId="4" applyFont="1" applyBorder="1" applyAlignment="1" applyProtection="1">
      <alignment horizontal="left" vertical="top" wrapText="1"/>
    </xf>
    <xf numFmtId="0" fontId="13" fillId="0" borderId="0" xfId="4" applyFont="1" applyBorder="1" applyAlignment="1" applyProtection="1">
      <alignment horizontal="left" vertical="top" wrapText="1"/>
    </xf>
    <xf numFmtId="0" fontId="13" fillId="0" borderId="46" xfId="4" applyFont="1" applyBorder="1" applyAlignment="1" applyProtection="1">
      <alignment horizontal="left" vertical="top" wrapText="1"/>
    </xf>
    <xf numFmtId="0" fontId="13" fillId="0" borderId="76" xfId="4" applyFont="1" applyBorder="1" applyAlignment="1" applyProtection="1">
      <alignment horizontal="left" vertical="top" wrapText="1"/>
    </xf>
    <xf numFmtId="0" fontId="13" fillId="0" borderId="1" xfId="4" applyFont="1" applyBorder="1" applyAlignment="1" applyProtection="1">
      <alignment horizontal="left" vertical="top" wrapText="1"/>
    </xf>
    <xf numFmtId="0" fontId="13" fillId="0" borderId="45" xfId="4" applyFont="1" applyBorder="1" applyAlignment="1" applyProtection="1">
      <alignment horizontal="left" vertical="top" wrapText="1"/>
    </xf>
    <xf numFmtId="0" fontId="13" fillId="0" borderId="49" xfId="4" applyFont="1" applyBorder="1" applyAlignment="1" applyProtection="1">
      <alignment horizontal="center" vertical="top" wrapText="1"/>
      <protection locked="0"/>
    </xf>
    <xf numFmtId="0" fontId="13" fillId="0" borderId="54" xfId="4" applyFont="1" applyBorder="1" applyAlignment="1" applyProtection="1">
      <alignment horizontal="center" vertical="top" wrapText="1"/>
      <protection locked="0"/>
    </xf>
    <xf numFmtId="0" fontId="6" fillId="0" borderId="31" xfId="0" applyFont="1" applyBorder="1" applyAlignment="1">
      <alignment horizontal="left" vertical="center"/>
    </xf>
    <xf numFmtId="0" fontId="6" fillId="0" borderId="32" xfId="0" applyFont="1" applyBorder="1" applyAlignment="1">
      <alignment horizontal="left" vertical="center"/>
    </xf>
    <xf numFmtId="0" fontId="9" fillId="3" borderId="31"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0" fillId="0" borderId="20"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36" fillId="0" borderId="49" xfId="0" applyFont="1" applyBorder="1" applyAlignment="1">
      <alignment horizontal="left" wrapText="1"/>
    </xf>
    <xf numFmtId="0" fontId="36" fillId="0" borderId="46" xfId="0" applyFont="1" applyBorder="1" applyAlignment="1">
      <alignment horizontal="left" wrapText="1"/>
    </xf>
    <xf numFmtId="0" fontId="14" fillId="3" borderId="49" xfId="0" applyFont="1" applyFill="1" applyBorder="1" applyAlignment="1">
      <alignment horizontal="center" vertical="center"/>
    </xf>
    <xf numFmtId="0" fontId="14" fillId="3" borderId="0" xfId="0" applyFont="1" applyFill="1" applyAlignment="1">
      <alignment horizontal="center" vertical="center"/>
    </xf>
    <xf numFmtId="0" fontId="33" fillId="0" borderId="0" xfId="4" applyFont="1" applyAlignment="1" applyProtection="1">
      <alignment horizontal="left" vertical="center" wrapText="1"/>
    </xf>
    <xf numFmtId="0" fontId="0" fillId="0" borderId="2" xfId="4" applyFont="1" applyBorder="1" applyAlignment="1" applyProtection="1">
      <alignment horizontal="left" wrapText="1"/>
    </xf>
    <xf numFmtId="0" fontId="5" fillId="0" borderId="2" xfId="4" applyFont="1" applyBorder="1" applyAlignment="1" applyProtection="1">
      <alignment horizontal="left" wrapText="1"/>
    </xf>
    <xf numFmtId="0" fontId="5" fillId="0" borderId="56" xfId="4" applyFont="1" applyBorder="1" applyAlignment="1" applyProtection="1">
      <alignment horizontal="left" wrapText="1"/>
    </xf>
    <xf numFmtId="0" fontId="6" fillId="0" borderId="53" xfId="0" applyFont="1" applyBorder="1" applyAlignment="1">
      <alignment horizontal="left" vertical="top" wrapText="1"/>
    </xf>
    <xf numFmtId="0" fontId="6" fillId="0" borderId="19" xfId="0" applyFont="1" applyBorder="1" applyAlignment="1">
      <alignment horizontal="left" vertical="top" wrapText="1"/>
    </xf>
    <xf numFmtId="0" fontId="6" fillId="0" borderId="48" xfId="0" applyFont="1" applyBorder="1" applyAlignment="1">
      <alignment horizontal="left" vertical="top" wrapText="1"/>
    </xf>
    <xf numFmtId="0" fontId="6" fillId="0" borderId="49" xfId="0" applyFont="1" applyBorder="1" applyAlignment="1">
      <alignment horizontal="left" vertical="top" wrapText="1"/>
    </xf>
    <xf numFmtId="0" fontId="6" fillId="0" borderId="0" xfId="0" applyFont="1" applyAlignment="1">
      <alignment horizontal="left" vertical="top" wrapText="1"/>
    </xf>
    <xf numFmtId="0" fontId="6" fillId="0" borderId="46" xfId="0" applyFont="1" applyBorder="1" applyAlignment="1">
      <alignment horizontal="left" vertical="top" wrapText="1"/>
    </xf>
    <xf numFmtId="0" fontId="0" fillId="0" borderId="50" xfId="0" applyBorder="1" applyAlignment="1">
      <alignment horizontal="left" vertical="center" wrapText="1"/>
    </xf>
    <xf numFmtId="0" fontId="0" fillId="0" borderId="13" xfId="0" applyBorder="1" applyAlignment="1">
      <alignment horizontal="left" vertical="center" wrapText="1"/>
    </xf>
    <xf numFmtId="0" fontId="0" fillId="0" borderId="13" xfId="0" applyBorder="1" applyAlignment="1" applyProtection="1">
      <alignment horizontal="left" vertical="top"/>
      <protection locked="0"/>
    </xf>
    <xf numFmtId="0" fontId="0" fillId="0" borderId="15" xfId="0" applyBorder="1" applyAlignment="1" applyProtection="1">
      <alignment horizontal="left" vertical="top"/>
      <protection locked="0"/>
    </xf>
    <xf numFmtId="0" fontId="5" fillId="0" borderId="24" xfId="4" applyFont="1" applyBorder="1" applyAlignment="1" applyProtection="1">
      <alignment horizontal="left" wrapText="1"/>
      <protection locked="0"/>
    </xf>
    <xf numFmtId="0" fontId="5" fillId="0" borderId="25" xfId="4" applyFont="1" applyBorder="1" applyAlignment="1" applyProtection="1">
      <alignment horizontal="left" wrapText="1"/>
      <protection locked="0"/>
    </xf>
    <xf numFmtId="0" fontId="35" fillId="0" borderId="20" xfId="0" applyFont="1" applyBorder="1" applyAlignment="1">
      <alignment horizontal="left" wrapText="1"/>
    </xf>
    <xf numFmtId="0" fontId="35" fillId="0" borderId="21" xfId="0" applyFont="1" applyBorder="1" applyAlignment="1">
      <alignment horizontal="left" wrapText="1"/>
    </xf>
    <xf numFmtId="0" fontId="35" fillId="0" borderId="58" xfId="0" applyFont="1" applyBorder="1" applyAlignment="1">
      <alignment horizontal="left" wrapText="1"/>
    </xf>
    <xf numFmtId="0" fontId="36" fillId="5" borderId="22" xfId="0" applyFont="1" applyFill="1" applyBorder="1" applyAlignment="1">
      <alignment horizontal="left"/>
    </xf>
    <xf numFmtId="0" fontId="36" fillId="5" borderId="27" xfId="0" applyFont="1" applyFill="1" applyBorder="1" applyAlignment="1">
      <alignment horizontal="left"/>
    </xf>
    <xf numFmtId="0" fontId="36" fillId="0" borderId="22" xfId="0" applyFont="1" applyBorder="1" applyAlignment="1">
      <alignment horizontal="left"/>
    </xf>
    <xf numFmtId="0" fontId="36" fillId="0" borderId="20" xfId="0" applyFont="1" applyBorder="1" applyAlignment="1">
      <alignment horizontal="left"/>
    </xf>
    <xf numFmtId="0" fontId="36" fillId="0" borderId="26" xfId="0" applyFont="1" applyBorder="1" applyAlignment="1">
      <alignment horizontal="left"/>
    </xf>
    <xf numFmtId="0" fontId="36" fillId="0" borderId="49" xfId="0" applyFont="1" applyBorder="1" applyAlignment="1">
      <alignment horizontal="left" vertical="center" wrapText="1"/>
    </xf>
    <xf numFmtId="0" fontId="36" fillId="0" borderId="0" xfId="0" applyFont="1" applyAlignment="1">
      <alignment horizontal="left" vertical="center" wrapText="1"/>
    </xf>
    <xf numFmtId="0" fontId="36" fillId="0" borderId="46" xfId="0" applyFont="1" applyBorder="1" applyAlignment="1">
      <alignment horizontal="left" vertical="center" wrapText="1"/>
    </xf>
    <xf numFmtId="0" fontId="35" fillId="0" borderId="44" xfId="0" applyFont="1" applyBorder="1" applyAlignment="1">
      <alignment horizontal="left" vertical="top" wrapText="1"/>
    </xf>
    <xf numFmtId="0" fontId="35" fillId="0" borderId="47" xfId="0" applyFont="1" applyBorder="1" applyAlignment="1">
      <alignment horizontal="left" vertical="top" wrapText="1"/>
    </xf>
    <xf numFmtId="0" fontId="35" fillId="0" borderId="35" xfId="0" applyFont="1" applyBorder="1" applyAlignment="1">
      <alignment horizontal="left" vertical="top" wrapText="1"/>
    </xf>
    <xf numFmtId="0" fontId="38" fillId="3" borderId="31" xfId="0" applyFont="1" applyFill="1" applyBorder="1" applyAlignment="1">
      <alignment horizontal="left"/>
    </xf>
    <xf numFmtId="0" fontId="38" fillId="3" borderId="33" xfId="0" applyFont="1" applyFill="1" applyBorder="1" applyAlignment="1">
      <alignment horizontal="left"/>
    </xf>
    <xf numFmtId="0" fontId="36" fillId="0" borderId="15" xfId="0" applyFont="1" applyBorder="1" applyAlignment="1" applyProtection="1">
      <alignment horizontal="left" vertical="top" wrapText="1"/>
      <protection locked="0"/>
    </xf>
    <xf numFmtId="0" fontId="36" fillId="0" borderId="28" xfId="0" applyFont="1" applyBorder="1" applyAlignment="1">
      <alignment horizontal="left"/>
    </xf>
    <xf numFmtId="0" fontId="39" fillId="0" borderId="0" xfId="0" applyFont="1" applyAlignment="1">
      <alignment horizontal="left"/>
    </xf>
    <xf numFmtId="0" fontId="38" fillId="3" borderId="54" xfId="0" applyFont="1" applyFill="1" applyBorder="1" applyAlignment="1">
      <alignment horizontal="left" wrapText="1"/>
    </xf>
    <xf numFmtId="0" fontId="38" fillId="3" borderId="45" xfId="0" applyFont="1" applyFill="1" applyBorder="1" applyAlignment="1">
      <alignment horizontal="left" wrapText="1"/>
    </xf>
    <xf numFmtId="0" fontId="36" fillId="5" borderId="49" xfId="0" applyFont="1" applyFill="1" applyBorder="1" applyAlignment="1">
      <alignment horizontal="left"/>
    </xf>
    <xf numFmtId="0" fontId="36" fillId="5" borderId="0" xfId="0" applyFont="1" applyFill="1" applyAlignment="1">
      <alignment horizontal="left"/>
    </xf>
    <xf numFmtId="0" fontId="36" fillId="5" borderId="46" xfId="0" applyFont="1" applyFill="1" applyBorder="1" applyAlignment="1">
      <alignment horizontal="left"/>
    </xf>
    <xf numFmtId="0" fontId="36" fillId="0" borderId="49" xfId="0" applyFont="1" applyBorder="1" applyAlignment="1">
      <alignment horizontal="left"/>
    </xf>
    <xf numFmtId="0" fontId="36" fillId="0" borderId="0" xfId="0" applyFont="1" applyAlignment="1">
      <alignment horizontal="left"/>
    </xf>
    <xf numFmtId="0" fontId="36" fillId="0" borderId="46" xfId="0" applyFont="1" applyBorder="1" applyAlignment="1">
      <alignment horizontal="left"/>
    </xf>
    <xf numFmtId="0" fontId="36" fillId="0" borderId="54" xfId="0" applyFont="1" applyBorder="1" applyAlignment="1">
      <alignment horizontal="left"/>
    </xf>
    <xf numFmtId="0" fontId="38" fillId="3" borderId="46" xfId="0" applyFont="1" applyFill="1" applyBorder="1" applyAlignment="1">
      <alignment horizontal="center"/>
    </xf>
    <xf numFmtId="0" fontId="36" fillId="0" borderId="53" xfId="0" applyFont="1" applyBorder="1" applyAlignment="1">
      <alignment horizontal="left"/>
    </xf>
    <xf numFmtId="0" fontId="36" fillId="0" borderId="19" xfId="0" applyFont="1" applyBorder="1" applyAlignment="1">
      <alignment horizontal="left"/>
    </xf>
    <xf numFmtId="0" fontId="36" fillId="0" borderId="48" xfId="0" applyFont="1" applyBorder="1" applyAlignment="1">
      <alignment horizontal="left"/>
    </xf>
    <xf numFmtId="0" fontId="36" fillId="0" borderId="22" xfId="0" applyFont="1" applyBorder="1" applyAlignment="1">
      <alignment horizontal="left" wrapText="1"/>
    </xf>
    <xf numFmtId="0" fontId="38" fillId="3" borderId="2" xfId="0" applyFont="1" applyFill="1" applyBorder="1" applyAlignment="1">
      <alignment horizontal="left"/>
    </xf>
    <xf numFmtId="0" fontId="36" fillId="5" borderId="22" xfId="0" applyFont="1" applyFill="1" applyBorder="1" applyAlignment="1">
      <alignment horizontal="left" wrapText="1"/>
    </xf>
    <xf numFmtId="0" fontId="36" fillId="0" borderId="53" xfId="0" applyFont="1" applyBorder="1" applyAlignment="1" applyProtection="1">
      <alignment horizontal="left" vertical="top" wrapText="1"/>
      <protection locked="0"/>
    </xf>
    <xf numFmtId="0" fontId="36" fillId="0" borderId="19" xfId="0" applyFont="1" applyBorder="1" applyAlignment="1" applyProtection="1">
      <alignment horizontal="left" vertical="top" wrapText="1"/>
      <protection locked="0"/>
    </xf>
    <xf numFmtId="0" fontId="36" fillId="0" borderId="48" xfId="0" applyFont="1" applyBorder="1" applyAlignment="1" applyProtection="1">
      <alignment horizontal="left" vertical="top" wrapText="1"/>
      <protection locked="0"/>
    </xf>
    <xf numFmtId="0" fontId="36" fillId="0" borderId="54" xfId="0" applyFont="1" applyBorder="1" applyAlignment="1">
      <alignment horizontal="left" vertical="top" wrapText="1"/>
    </xf>
    <xf numFmtId="0" fontId="36" fillId="0" borderId="1" xfId="0" applyFont="1" applyBorder="1" applyAlignment="1">
      <alignment horizontal="left" vertical="top" wrapText="1"/>
    </xf>
    <xf numFmtId="0" fontId="36" fillId="0" borderId="45" xfId="0" applyFont="1" applyBorder="1" applyAlignment="1">
      <alignment horizontal="left" vertical="top" wrapText="1"/>
    </xf>
    <xf numFmtId="0" fontId="36" fillId="0" borderId="44" xfId="0" applyFont="1" applyBorder="1" applyAlignment="1">
      <alignment horizontal="left" wrapText="1"/>
    </xf>
    <xf numFmtId="0" fontId="35" fillId="0" borderId="49" xfId="0" applyFont="1" applyBorder="1" applyAlignment="1">
      <alignment horizontal="left" vertical="center" wrapText="1"/>
    </xf>
    <xf numFmtId="0" fontId="35" fillId="0" borderId="0" xfId="0" applyFont="1" applyAlignment="1">
      <alignment horizontal="left" vertical="center" wrapText="1"/>
    </xf>
    <xf numFmtId="0" fontId="35" fillId="0" borderId="46" xfId="0" applyFont="1" applyBorder="1" applyAlignment="1">
      <alignment horizontal="left" vertical="center" wrapText="1"/>
    </xf>
    <xf numFmtId="0" fontId="51" fillId="0" borderId="0" xfId="0" applyFont="1" applyAlignment="1">
      <alignment horizontal="left" vertical="top" wrapText="1"/>
    </xf>
    <xf numFmtId="0" fontId="36" fillId="0" borderId="0" xfId="0" applyFont="1" applyProtection="1">
      <protection locked="0"/>
    </xf>
    <xf numFmtId="0" fontId="36" fillId="0" borderId="46" xfId="0" applyFont="1" applyBorder="1" applyProtection="1">
      <protection locked="0"/>
    </xf>
    <xf numFmtId="0" fontId="36" fillId="0" borderId="49" xfId="0" applyFont="1" applyBorder="1" applyProtection="1">
      <protection locked="0"/>
    </xf>
    <xf numFmtId="0" fontId="36" fillId="0" borderId="54" xfId="0" applyFont="1" applyBorder="1" applyProtection="1">
      <protection locked="0"/>
    </xf>
    <xf numFmtId="0" fontId="36" fillId="0" borderId="1" xfId="0" applyFont="1" applyBorder="1" applyProtection="1">
      <protection locked="0"/>
    </xf>
    <xf numFmtId="0" fontId="36" fillId="0" borderId="45" xfId="0" applyFont="1" applyBorder="1" applyProtection="1">
      <protection locked="0"/>
    </xf>
    <xf numFmtId="0" fontId="36" fillId="0" borderId="19" xfId="0" applyFont="1" applyBorder="1"/>
    <xf numFmtId="0" fontId="36" fillId="0" borderId="48" xfId="0" applyFont="1" applyBorder="1"/>
    <xf numFmtId="0" fontId="36" fillId="0" borderId="44" xfId="0" applyFont="1" applyBorder="1"/>
    <xf numFmtId="0" fontId="36" fillId="0" borderId="47" xfId="0" applyFont="1" applyBorder="1"/>
    <xf numFmtId="0" fontId="36" fillId="0" borderId="35" xfId="0" applyFont="1" applyBorder="1"/>
    <xf numFmtId="0" fontId="36" fillId="0" borderId="54" xfId="0" applyFont="1" applyBorder="1" applyAlignment="1">
      <alignment horizontal="left" wrapText="1"/>
    </xf>
    <xf numFmtId="0" fontId="36" fillId="0" borderId="1" xfId="0" applyFont="1" applyBorder="1" applyAlignment="1">
      <alignment horizontal="left" wrapText="1"/>
    </xf>
    <xf numFmtId="0" fontId="36" fillId="0" borderId="45" xfId="0" applyFont="1" applyBorder="1" applyAlignment="1">
      <alignment horizontal="left" wrapText="1"/>
    </xf>
    <xf numFmtId="0" fontId="35" fillId="0" borderId="72" xfId="0" applyFont="1" applyBorder="1" applyAlignment="1">
      <alignment horizontal="left" wrapText="1"/>
    </xf>
    <xf numFmtId="0" fontId="51" fillId="0" borderId="0" xfId="44" applyFont="1" applyAlignment="1">
      <alignment horizontal="left" vertical="top" wrapText="1"/>
    </xf>
    <xf numFmtId="166" fontId="36" fillId="0" borderId="22" xfId="2" applyNumberFormat="1" applyFont="1" applyBorder="1" applyAlignment="1">
      <alignment horizontal="center"/>
    </xf>
    <xf numFmtId="166" fontId="36" fillId="0" borderId="27" xfId="2" applyNumberFormat="1" applyFont="1" applyBorder="1" applyAlignment="1">
      <alignment horizontal="center"/>
    </xf>
    <xf numFmtId="166" fontId="36" fillId="0" borderId="31" xfId="2" applyNumberFormat="1" applyFont="1" applyBorder="1" applyAlignment="1">
      <alignment horizontal="center"/>
    </xf>
    <xf numFmtId="166" fontId="36" fillId="0" borderId="43" xfId="2" applyNumberFormat="1" applyFont="1" applyBorder="1" applyAlignment="1">
      <alignment horizontal="center"/>
    </xf>
    <xf numFmtId="0" fontId="36" fillId="0" borderId="2" xfId="0" applyFont="1" applyBorder="1" applyAlignment="1">
      <alignment horizontal="left" vertical="top" wrapText="1"/>
    </xf>
    <xf numFmtId="0" fontId="36" fillId="0" borderId="2" xfId="0" applyFont="1" applyBorder="1" applyAlignment="1">
      <alignment horizontal="center" vertical="top" wrapText="1"/>
    </xf>
    <xf numFmtId="0" fontId="38" fillId="3" borderId="49" xfId="44" applyFont="1" applyFill="1" applyBorder="1" applyAlignment="1">
      <alignment horizontal="center" wrapText="1"/>
    </xf>
    <xf numFmtId="0" fontId="38" fillId="3" borderId="0" xfId="44" applyFont="1" applyFill="1" applyAlignment="1">
      <alignment horizontal="center" wrapText="1"/>
    </xf>
  </cellXfs>
  <cellStyles count="58">
    <cellStyle name="Column_Heading" xfId="52" xr:uid="{B6A9E3B3-30B7-4312-B83A-57300E582588}"/>
    <cellStyle name="Comma" xfId="3" builtinId="3"/>
    <cellStyle name="Comma 2" xfId="47" xr:uid="{00000000-0005-0000-0000-000001000000}"/>
    <cellStyle name="Comma 2 10" xfId="8" xr:uid="{00000000-0005-0000-0000-000002000000}"/>
    <cellStyle name="Comma 2 2" xfId="9" xr:uid="{00000000-0005-0000-0000-000003000000}"/>
    <cellStyle name="Comma 2 3" xfId="10" xr:uid="{00000000-0005-0000-0000-000004000000}"/>
    <cellStyle name="Comma 2 4" xfId="11" xr:uid="{00000000-0005-0000-0000-000005000000}"/>
    <cellStyle name="Comma 2 5" xfId="12" xr:uid="{00000000-0005-0000-0000-000006000000}"/>
    <cellStyle name="Comma 2 6" xfId="13" xr:uid="{00000000-0005-0000-0000-000007000000}"/>
    <cellStyle name="Comma 2 7" xfId="14" xr:uid="{00000000-0005-0000-0000-000008000000}"/>
    <cellStyle name="Comma 2 8" xfId="15" xr:uid="{00000000-0005-0000-0000-000009000000}"/>
    <cellStyle name="Comma 2 9" xfId="16" xr:uid="{00000000-0005-0000-0000-00000A000000}"/>
    <cellStyle name="Comma 5" xfId="17" xr:uid="{00000000-0005-0000-0000-00000B000000}"/>
    <cellStyle name="Currency" xfId="1" builtinId="4"/>
    <cellStyle name="Currency 2" xfId="18" xr:uid="{00000000-0005-0000-0000-00000D000000}"/>
    <cellStyle name="Currency 7" xfId="19" xr:uid="{00000000-0005-0000-0000-00000E000000}"/>
    <cellStyle name="Currency 9" xfId="20" xr:uid="{00000000-0005-0000-0000-00000F000000}"/>
    <cellStyle name="Heading 1 2" xfId="5" xr:uid="{00000000-0005-0000-0000-000010000000}"/>
    <cellStyle name="Heading 1 2 2" xfId="53" xr:uid="{FAD5BBC9-5551-434D-BEB9-10C24890A01F}"/>
    <cellStyle name="Heading 1 2 2 2" xfId="56" xr:uid="{CAE27AFA-8983-4ABF-947B-A7159C2C3179}"/>
    <cellStyle name="Heading 2 2" xfId="42" xr:uid="{00000000-0005-0000-0000-000011000000}"/>
    <cellStyle name="Heading 3 2" xfId="7" xr:uid="{00000000-0005-0000-0000-000012000000}"/>
    <cellStyle name="Heading 4 2" xfId="43" xr:uid="{00000000-0005-0000-0000-000013000000}"/>
    <cellStyle name="Heading_Allison" xfId="55" xr:uid="{076BC60F-E42B-49F6-A6D0-9FBF6CC6F2D0}"/>
    <cellStyle name="Hyperlink" xfId="4" builtinId="8"/>
    <cellStyle name="Hyperlink 2" xfId="50" xr:uid="{00000000-0005-0000-0000-000015000000}"/>
    <cellStyle name="Normal" xfId="0" builtinId="0"/>
    <cellStyle name="Normal 10" xfId="21" xr:uid="{00000000-0005-0000-0000-000017000000}"/>
    <cellStyle name="Normal 11" xfId="44" xr:uid="{00000000-0005-0000-0000-000018000000}"/>
    <cellStyle name="Normal 2" xfId="6" xr:uid="{00000000-0005-0000-0000-000019000000}"/>
    <cellStyle name="Normal 2 2" xfId="51" xr:uid="{00000000-0005-0000-0000-00001A000000}"/>
    <cellStyle name="Normal 2 3" xfId="54" xr:uid="{2FF689CB-FDD6-4EB5-AC58-F2CC47A4D761}"/>
    <cellStyle name="Normal 2 4" xfId="57" xr:uid="{7BDE3FFE-298A-4201-9D07-0053630AB864}"/>
    <cellStyle name="Normal 3" xfId="22" xr:uid="{00000000-0005-0000-0000-00001B000000}"/>
    <cellStyle name="Normal 4" xfId="23" xr:uid="{00000000-0005-0000-0000-00001C000000}"/>
    <cellStyle name="Normal 5" xfId="24" xr:uid="{00000000-0005-0000-0000-00001D000000}"/>
    <cellStyle name="Normal 6" xfId="25" xr:uid="{00000000-0005-0000-0000-00001E000000}"/>
    <cellStyle name="Normal 7" xfId="26" xr:uid="{00000000-0005-0000-0000-00001F000000}"/>
    <cellStyle name="Normal 8" xfId="27" xr:uid="{00000000-0005-0000-0000-000020000000}"/>
    <cellStyle name="Normal 9" xfId="28" xr:uid="{00000000-0005-0000-0000-000021000000}"/>
    <cellStyle name="Normal_Oct_2005_mailingZIP_conversion" xfId="46" xr:uid="{00000000-0005-0000-0000-000022000000}"/>
    <cellStyle name="Normal_Sheet1" xfId="48" xr:uid="{00000000-0005-0000-0000-000023000000}"/>
    <cellStyle name="Percent" xfId="2" builtinId="5"/>
    <cellStyle name="Percent 2" xfId="29" xr:uid="{00000000-0005-0000-0000-000025000000}"/>
    <cellStyle name="Percent 2 10" xfId="30" xr:uid="{00000000-0005-0000-0000-000026000000}"/>
    <cellStyle name="Percent 2 2" xfId="31" xr:uid="{00000000-0005-0000-0000-000027000000}"/>
    <cellStyle name="Percent 2 3" xfId="32" xr:uid="{00000000-0005-0000-0000-000028000000}"/>
    <cellStyle name="Percent 2 4" xfId="33" xr:uid="{00000000-0005-0000-0000-000029000000}"/>
    <cellStyle name="Percent 2 5" xfId="34" xr:uid="{00000000-0005-0000-0000-00002A000000}"/>
    <cellStyle name="Percent 2 6" xfId="35" xr:uid="{00000000-0005-0000-0000-00002B000000}"/>
    <cellStyle name="Percent 2 7" xfId="36" xr:uid="{00000000-0005-0000-0000-00002C000000}"/>
    <cellStyle name="Percent 2 8" xfId="37" xr:uid="{00000000-0005-0000-0000-00002D000000}"/>
    <cellStyle name="Percent 2 9" xfId="38" xr:uid="{00000000-0005-0000-0000-00002E000000}"/>
    <cellStyle name="Percent 3" xfId="45" xr:uid="{00000000-0005-0000-0000-00002F000000}"/>
    <cellStyle name="Percent 5" xfId="39" xr:uid="{00000000-0005-0000-0000-000030000000}"/>
    <cellStyle name="Percent 7" xfId="40" xr:uid="{00000000-0005-0000-0000-000031000000}"/>
    <cellStyle name="Percent 8" xfId="41" xr:uid="{00000000-0005-0000-0000-000032000000}"/>
    <cellStyle name="Style 1" xfId="49" xr:uid="{00000000-0005-0000-0000-000033000000}"/>
  </cellStyles>
  <dxfs count="197">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dxf>
    <dxf>
      <font>
        <color theme="0" tint="-0.499984740745262"/>
      </font>
      <fill>
        <patternFill>
          <bgColor theme="0" tint="-0.499984740745262"/>
        </patternFill>
      </fill>
    </dxf>
    <dxf>
      <font>
        <b/>
        <i val="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numFmt numFmtId="1" formatCode="0"/>
    </dxf>
    <dxf>
      <numFmt numFmtId="2" formatCode="0.00"/>
    </dxf>
    <dxf>
      <font>
        <b/>
        <i val="0"/>
      </font>
      <numFmt numFmtId="166" formatCode="0.0%"/>
    </dxf>
    <dxf>
      <fill>
        <patternFill>
          <bgColor rgb="FFFFFF00"/>
        </patternFill>
      </fill>
    </dxf>
    <dxf>
      <fill>
        <patternFill>
          <bgColor rgb="FFFFFF00"/>
        </patternFill>
      </fill>
    </dxf>
    <dxf>
      <font>
        <b/>
        <i val="0"/>
      </font>
    </dxf>
    <dxf>
      <font>
        <color theme="0" tint="-0.499984740745262"/>
      </font>
      <fill>
        <patternFill>
          <bgColor theme="0" tint="-0.499984740745262"/>
        </patternFill>
      </fill>
    </dxf>
    <dxf>
      <fill>
        <patternFill>
          <bgColor rgb="FFFFFF00"/>
        </patternFill>
      </fill>
    </dxf>
    <dxf>
      <fill>
        <patternFill>
          <bgColor rgb="FFFFFF00"/>
        </patternFill>
      </fill>
    </dxf>
    <dxf>
      <fill>
        <patternFill>
          <bgColor rgb="FFFFFF00"/>
        </patternFill>
      </fill>
    </dxf>
    <dxf>
      <font>
        <color theme="1"/>
      </font>
      <border>
        <left style="thin">
          <color auto="1"/>
        </left>
        <right style="thin">
          <color auto="1"/>
        </right>
        <top style="hair">
          <color auto="1"/>
        </top>
        <bottom style="thin">
          <color auto="1"/>
        </bottom>
        <vertical/>
        <horizontal/>
      </border>
    </dxf>
    <dxf>
      <font>
        <color theme="1"/>
      </font>
      <fill>
        <patternFill>
          <bgColor rgb="FFFFFF00"/>
        </patternFill>
      </fill>
      <border>
        <left style="thin">
          <color auto="1"/>
        </left>
        <right style="thin">
          <color auto="1"/>
        </right>
        <top style="hair">
          <color auto="1"/>
        </top>
        <bottom style="thin">
          <color auto="1"/>
        </bottom>
      </border>
    </dxf>
    <dxf>
      <fill>
        <patternFill>
          <bgColor rgb="FFFFFF00"/>
        </patternFill>
      </fill>
    </dxf>
    <dxf>
      <fill>
        <patternFill>
          <bgColor rgb="FFFFFF00"/>
        </patternFill>
      </fill>
    </dxf>
    <dxf>
      <fill>
        <patternFill>
          <bgColor rgb="FFFFFF00"/>
        </patternFill>
      </fill>
    </dxf>
    <dxf>
      <fill>
        <patternFill>
          <bgColor rgb="FFFFFF00"/>
        </patternFill>
      </fill>
    </dxf>
    <dxf>
      <font>
        <b/>
        <i val="0"/>
        <color theme="1"/>
      </font>
    </dxf>
    <dxf>
      <fill>
        <patternFill>
          <bgColor rgb="FFFFFF00"/>
        </patternFill>
      </fill>
    </dxf>
    <dxf>
      <font>
        <b/>
        <i val="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ont>
        <b/>
        <i val="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dxf>
    <dxf>
      <fill>
        <patternFill>
          <bgColor rgb="FFFFFF00"/>
        </patternFill>
      </fill>
    </dxf>
    <dxf>
      <font>
        <color theme="0"/>
      </font>
      <fill>
        <patternFill>
          <bgColor rgb="FFFF0000"/>
        </patternFill>
      </fill>
    </dxf>
    <dxf>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dxf>
    <dxf>
      <fill>
        <patternFill>
          <bgColor rgb="FFFFFF00"/>
        </patternFill>
      </fill>
    </dxf>
    <dxf>
      <font>
        <color theme="0" tint="-0.499984740745262"/>
      </font>
      <fill>
        <patternFill>
          <bgColor theme="0" tint="-0.499984740745262"/>
        </patternFill>
      </fill>
    </dxf>
    <dxf>
      <fill>
        <patternFill patternType="solid">
          <bgColor theme="1" tint="0.499984740745262"/>
        </patternFill>
      </fill>
    </dxf>
    <dxf>
      <font>
        <color theme="0" tint="-0.499984740745262"/>
      </font>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patternType="none">
          <bgColor auto="1"/>
        </patternFill>
      </fill>
    </dxf>
    <dxf>
      <fill>
        <patternFill>
          <bgColor theme="0" tint="-0.499984740745262"/>
        </patternFill>
      </fill>
    </dxf>
    <dxf>
      <fill>
        <patternFill>
          <bgColor rgb="FFFFFF00"/>
        </patternFill>
      </fill>
    </dxf>
    <dxf>
      <fill>
        <patternFill>
          <bgColor rgb="FFFFFF00"/>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val="0"/>
        <i val="0"/>
        <strike val="0"/>
        <condense val="0"/>
        <extend val="0"/>
        <outline val="0"/>
        <shadow val="0"/>
        <u val="none"/>
        <vertAlign val="baseline"/>
        <sz val="12"/>
        <color indexed="8"/>
        <name val="Segoe UI"/>
        <family val="2"/>
        <scheme val="none"/>
      </font>
      <numFmt numFmtId="166" formatCode="0.0%"/>
      <fill>
        <patternFill patternType="none">
          <fgColor indexed="64"/>
          <bgColor indexed="65"/>
        </patternFill>
      </fill>
      <alignment horizontal="center" vertical="bottom" textRotation="0" wrapText="0" relativeIndent="0" justifyLastLine="0" shrinkToFit="0" readingOrder="0"/>
      <border diagonalUp="0" diagonalDown="0" outline="0">
        <left style="thin">
          <color auto="1"/>
        </left>
        <right/>
        <top style="hair">
          <color auto="1"/>
        </top>
        <bottom style="hair">
          <color auto="1"/>
        </bottom>
      </border>
      <protection locked="0" hidden="0"/>
    </dxf>
    <dxf>
      <font>
        <b val="0"/>
        <i val="0"/>
        <strike val="0"/>
        <condense val="0"/>
        <extend val="0"/>
        <outline val="0"/>
        <shadow val="0"/>
        <u val="none"/>
        <vertAlign val="baseline"/>
        <sz val="12"/>
        <color indexed="8"/>
        <name val="Segoe UI"/>
        <family val="2"/>
        <scheme val="none"/>
      </font>
      <numFmt numFmtId="166" formatCode="0.0%"/>
      <fill>
        <patternFill patternType="none">
          <fgColor indexed="64"/>
          <bgColor indexed="65"/>
        </patternFill>
      </fill>
      <alignment horizontal="center" vertical="bottom" textRotation="0" wrapText="0" relativeIndent="0" justifyLastLine="0" shrinkToFit="0" readingOrder="0"/>
      <border diagonalUp="0" diagonalDown="0" outline="0">
        <left style="thin">
          <color indexed="64"/>
        </left>
        <right style="thin">
          <color indexed="64"/>
        </right>
        <top style="hair">
          <color indexed="64"/>
        </top>
        <bottom style="hair">
          <color indexed="64"/>
        </bottom>
      </border>
    </dxf>
    <dxf>
      <font>
        <b val="0"/>
        <i val="0"/>
        <strike val="0"/>
        <condense val="0"/>
        <extend val="0"/>
        <outline val="0"/>
        <shadow val="0"/>
        <u val="none"/>
        <vertAlign val="baseline"/>
        <sz val="12"/>
        <color indexed="8"/>
        <name val="Segoe UI"/>
        <family val="2"/>
        <scheme val="none"/>
      </font>
      <numFmt numFmtId="0" formatCode="General"/>
      <fill>
        <patternFill patternType="none">
          <fgColor indexed="64"/>
          <bgColor indexed="65"/>
        </patternFill>
      </fill>
      <alignment horizontal="center" vertical="bottom" textRotation="0" wrapText="0" relativeIndent="0" justifyLastLine="0" shrinkToFit="0" readingOrder="0"/>
      <border diagonalUp="0" diagonalDown="0" outline="0">
        <left style="thin">
          <color indexed="64"/>
        </left>
        <right style="thin">
          <color indexed="64"/>
        </right>
        <top style="hair">
          <color indexed="64"/>
        </top>
        <bottom style="hair">
          <color indexed="64"/>
        </bottom>
      </border>
    </dxf>
    <dxf>
      <font>
        <b val="0"/>
        <i val="0"/>
        <strike val="0"/>
        <condense val="0"/>
        <extend val="0"/>
        <outline val="0"/>
        <shadow val="0"/>
        <u val="none"/>
        <vertAlign val="baseline"/>
        <sz val="12"/>
        <color indexed="8"/>
        <name val="Segoe UI"/>
        <family val="2"/>
        <scheme val="none"/>
      </font>
      <numFmt numFmtId="0" formatCode="General"/>
      <fill>
        <patternFill patternType="none">
          <fgColor indexed="64"/>
          <bgColor indexed="65"/>
        </patternFill>
      </fill>
      <alignment horizontal="center" vertical="bottom" textRotation="0" wrapText="0" relativeIndent="0" justifyLastLine="0" shrinkToFit="0" readingOrder="0"/>
      <border diagonalUp="0" diagonalDown="0" outline="0">
        <left/>
        <right style="thin">
          <color indexed="64"/>
        </right>
        <top style="hair">
          <color auto="1"/>
        </top>
        <bottom style="hair">
          <color auto="1"/>
        </bottom>
      </border>
    </dxf>
    <dxf>
      <border outline="0">
        <left style="thin">
          <color indexed="64"/>
        </left>
        <right style="thin">
          <color indexed="64"/>
        </right>
        <top style="thin">
          <color indexed="64"/>
        </top>
        <bottom style="thin">
          <color auto="1"/>
        </bottom>
      </border>
    </dxf>
    <dxf>
      <font>
        <strike val="0"/>
        <outline val="0"/>
        <shadow val="0"/>
        <u val="none"/>
        <vertAlign val="baseline"/>
        <sz val="12"/>
        <name val="Segoe UI"/>
        <family val="2"/>
        <scheme val="none"/>
      </font>
      <fill>
        <patternFill patternType="none">
          <fgColor indexed="64"/>
          <bgColor auto="1"/>
        </patternFill>
      </fill>
    </dxf>
    <dxf>
      <border outline="0">
        <bottom style="thin">
          <color indexed="64"/>
        </bottom>
      </border>
    </dxf>
    <dxf>
      <font>
        <strike val="0"/>
        <outline val="0"/>
        <shadow val="0"/>
        <u val="none"/>
        <vertAlign val="baseline"/>
        <sz val="12"/>
        <name val="Segoe UI"/>
        <family val="2"/>
        <scheme val="none"/>
      </font>
    </dxf>
  </dxfs>
  <tableStyles count="0" defaultTableStyle="TableStyleMedium9" defaultPivotStyle="PivotStyleLight16"/>
  <colors>
    <mruColors>
      <color rgb="FFEBC8C7"/>
      <color rgb="FF0000FF"/>
      <color rgb="FF297083"/>
      <color rgb="FFF7EAE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styles" Target="styles.xml"/><Relationship Id="rId42"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microsoft.com/office/2017/10/relationships/person" Target="persons/person.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400"/>
            </a:pPr>
            <a:r>
              <a:rPr lang="en-US" sz="1400" b="0"/>
              <a:t>Average Premium</a:t>
            </a:r>
            <a:br>
              <a:rPr lang="en-US" sz="1400" b="0"/>
            </a:br>
            <a:r>
              <a:rPr lang="en-US" sz="1400" b="0"/>
              <a:t>at Current Rate Level</a:t>
            </a:r>
          </a:p>
        </c:rich>
      </c:tx>
      <c:layout>
        <c:manualLayout>
          <c:xMode val="edge"/>
          <c:yMode val="edge"/>
          <c:x val="0.28522429014555817"/>
          <c:y val="2.5706940874036001E-2"/>
        </c:manualLayout>
      </c:layout>
      <c:overlay val="0"/>
    </c:title>
    <c:autoTitleDeleted val="0"/>
    <c:plotArea>
      <c:layout>
        <c:manualLayout>
          <c:layoutTarget val="inner"/>
          <c:xMode val="edge"/>
          <c:yMode val="edge"/>
          <c:x val="0.12620424719637593"/>
          <c:y val="0.22323062218378767"/>
          <c:w val="0.65763493199713674"/>
          <c:h val="0.60010024788568095"/>
        </c:manualLayout>
      </c:layout>
      <c:scatterChart>
        <c:scatterStyle val="smoothMarker"/>
        <c:varyColors val="0"/>
        <c:ser>
          <c:idx val="1"/>
          <c:order val="0"/>
          <c:tx>
            <c:strRef>
              <c:f>'4A-Premium Trend'!$G$9</c:f>
              <c:strCache>
                <c:ptCount val="1"/>
                <c:pt idx="0">
                  <c:v>Quarterly</c:v>
                </c:pt>
              </c:strCache>
            </c:strRef>
          </c:tx>
          <c:spPr>
            <a:ln>
              <a:solidFill>
                <a:srgbClr val="9BBB59">
                  <a:lumMod val="75000"/>
                </a:srgbClr>
              </a:solidFill>
            </a:ln>
            <a:effectLst>
              <a:outerShdw blurRad="50800" dist="38100" dir="2700000" algn="tl" rotWithShape="0">
                <a:prstClr val="black">
                  <a:alpha val="40000"/>
                </a:prstClr>
              </a:outerShdw>
            </a:effectLst>
          </c:spPr>
          <c:marker>
            <c:symbol val="diamond"/>
            <c:size val="6"/>
            <c:spPr>
              <a:solidFill>
                <a:srgbClr val="9BBB59">
                  <a:lumMod val="50000"/>
                </a:srgbClr>
              </a:solidFill>
              <a:ln>
                <a:solidFill>
                  <a:srgbClr val="9BBB59">
                    <a:lumMod val="50000"/>
                  </a:srgbClr>
                </a:solidFill>
              </a:ln>
              <a:effectLst>
                <a:outerShdw blurRad="50800" dist="38100" dir="2700000" algn="tl" rotWithShape="0">
                  <a:prstClr val="black">
                    <a:alpha val="40000"/>
                  </a:prstClr>
                </a:outerShdw>
              </a:effectLst>
            </c:spPr>
          </c:marker>
          <c:xVal>
            <c:strRef>
              <c:f>'4A-Premium Trend'!$F$10:$F$33</c:f>
              <c:strCache>
                <c:ptCount val="24"/>
                <c:pt idx="0">
                  <c:v>_Q 20__</c:v>
                </c:pt>
                <c:pt idx="1">
                  <c:v>_Q 20__</c:v>
                </c:pt>
                <c:pt idx="2">
                  <c:v>_Q 20__</c:v>
                </c:pt>
                <c:pt idx="3">
                  <c:v>_Q 20__</c:v>
                </c:pt>
                <c:pt idx="4">
                  <c:v>_Q 20__</c:v>
                </c:pt>
                <c:pt idx="5">
                  <c:v>_Q 20__</c:v>
                </c:pt>
                <c:pt idx="6">
                  <c:v>_Q 20__</c:v>
                </c:pt>
                <c:pt idx="7">
                  <c:v>_Q 20__</c:v>
                </c:pt>
                <c:pt idx="8">
                  <c:v>_Q 20__</c:v>
                </c:pt>
                <c:pt idx="9">
                  <c:v>_Q 20__</c:v>
                </c:pt>
                <c:pt idx="10">
                  <c:v>_Q 20__</c:v>
                </c:pt>
                <c:pt idx="11">
                  <c:v>_Q 20__</c:v>
                </c:pt>
                <c:pt idx="12">
                  <c:v>_Q 20__</c:v>
                </c:pt>
                <c:pt idx="13">
                  <c:v>_Q 20__</c:v>
                </c:pt>
                <c:pt idx="14">
                  <c:v>_Q 20__</c:v>
                </c:pt>
                <c:pt idx="15">
                  <c:v>_Q 20__</c:v>
                </c:pt>
                <c:pt idx="16">
                  <c:v>_Q 20__</c:v>
                </c:pt>
                <c:pt idx="17">
                  <c:v>_Q 20__</c:v>
                </c:pt>
                <c:pt idx="18">
                  <c:v>_Q 20__</c:v>
                </c:pt>
                <c:pt idx="19">
                  <c:v>_Q 20__</c:v>
                </c:pt>
                <c:pt idx="20">
                  <c:v>_Q 20__</c:v>
                </c:pt>
                <c:pt idx="21">
                  <c:v>_Q 20__</c:v>
                </c:pt>
                <c:pt idx="22">
                  <c:v>_Q 20__</c:v>
                </c:pt>
                <c:pt idx="23">
                  <c:v>_Q 20__</c:v>
                </c:pt>
              </c:strCache>
            </c:strRef>
          </c:xVal>
          <c:yVal>
            <c:numRef>
              <c:f>'4A-Premium Trend'!$G$10:$G$33</c:f>
              <c:numCache>
                <c:formatCode>"$"#,##0_);\("$"#,##0\)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yVal>
          <c:smooth val="1"/>
          <c:extLst>
            <c:ext xmlns:c16="http://schemas.microsoft.com/office/drawing/2014/chart" uri="{C3380CC4-5D6E-409C-BE32-E72D297353CC}">
              <c16:uniqueId val="{00000000-068D-42B7-8517-07A105985AF5}"/>
            </c:ext>
          </c:extLst>
        </c:ser>
        <c:dLbls>
          <c:showLegendKey val="0"/>
          <c:showVal val="0"/>
          <c:showCatName val="0"/>
          <c:showSerName val="0"/>
          <c:showPercent val="0"/>
          <c:showBubbleSize val="0"/>
        </c:dLbls>
        <c:axId val="212089472"/>
        <c:axId val="212095744"/>
      </c:scatterChart>
      <c:lineChart>
        <c:grouping val="standard"/>
        <c:varyColors val="0"/>
        <c:ser>
          <c:idx val="0"/>
          <c:order val="1"/>
          <c:tx>
            <c:strRef>
              <c:f>'4A-Premium Trend'!$H$9</c:f>
              <c:strCache>
                <c:ptCount val="1"/>
                <c:pt idx="0">
                  <c:v>Four-Quarter-Ending</c:v>
                </c:pt>
              </c:strCache>
            </c:strRef>
          </c:tx>
          <c:spPr>
            <a:effectLst>
              <a:outerShdw blurRad="50800" dist="38100" dir="2700000" algn="tl" rotWithShape="0">
                <a:prstClr val="black">
                  <a:alpha val="40000"/>
                </a:prstClr>
              </a:outerShdw>
            </a:effectLst>
          </c:spPr>
          <c:marker>
            <c:symbol val="circle"/>
            <c:size val="4"/>
            <c:spPr>
              <a:effectLst>
                <a:outerShdw blurRad="50800" dist="38100" dir="2700000" algn="tl" rotWithShape="0">
                  <a:prstClr val="black">
                    <a:alpha val="40000"/>
                  </a:prstClr>
                </a:outerShdw>
              </a:effectLst>
            </c:spPr>
          </c:marker>
          <c:cat>
            <c:strRef>
              <c:f>'4A-Premium Trend'!$F$10:$F$33</c:f>
              <c:strCache>
                <c:ptCount val="24"/>
                <c:pt idx="0">
                  <c:v>_Q 20__</c:v>
                </c:pt>
                <c:pt idx="1">
                  <c:v>_Q 20__</c:v>
                </c:pt>
                <c:pt idx="2">
                  <c:v>_Q 20__</c:v>
                </c:pt>
                <c:pt idx="3">
                  <c:v>_Q 20__</c:v>
                </c:pt>
                <c:pt idx="4">
                  <c:v>_Q 20__</c:v>
                </c:pt>
                <c:pt idx="5">
                  <c:v>_Q 20__</c:v>
                </c:pt>
                <c:pt idx="6">
                  <c:v>_Q 20__</c:v>
                </c:pt>
                <c:pt idx="7">
                  <c:v>_Q 20__</c:v>
                </c:pt>
                <c:pt idx="8">
                  <c:v>_Q 20__</c:v>
                </c:pt>
                <c:pt idx="9">
                  <c:v>_Q 20__</c:v>
                </c:pt>
                <c:pt idx="10">
                  <c:v>_Q 20__</c:v>
                </c:pt>
                <c:pt idx="11">
                  <c:v>_Q 20__</c:v>
                </c:pt>
                <c:pt idx="12">
                  <c:v>_Q 20__</c:v>
                </c:pt>
                <c:pt idx="13">
                  <c:v>_Q 20__</c:v>
                </c:pt>
                <c:pt idx="14">
                  <c:v>_Q 20__</c:v>
                </c:pt>
                <c:pt idx="15">
                  <c:v>_Q 20__</c:v>
                </c:pt>
                <c:pt idx="16">
                  <c:v>_Q 20__</c:v>
                </c:pt>
                <c:pt idx="17">
                  <c:v>_Q 20__</c:v>
                </c:pt>
                <c:pt idx="18">
                  <c:v>_Q 20__</c:v>
                </c:pt>
                <c:pt idx="19">
                  <c:v>_Q 20__</c:v>
                </c:pt>
                <c:pt idx="20">
                  <c:v>_Q 20__</c:v>
                </c:pt>
                <c:pt idx="21">
                  <c:v>_Q 20__</c:v>
                </c:pt>
                <c:pt idx="22">
                  <c:v>_Q 20__</c:v>
                </c:pt>
                <c:pt idx="23">
                  <c:v>_Q 20__</c:v>
                </c:pt>
              </c:strCache>
            </c:strRef>
          </c:cat>
          <c:val>
            <c:numRef>
              <c:f>'4A-Premium Trend'!$H$10:$H$33</c:f>
              <c:numCache>
                <c:formatCode>"$"#,##0.00</c:formatCode>
                <c:ptCount val="24"/>
                <c:pt idx="3" formatCode="&quot;$&quot;#,##0_);\(&quot;$&quot;#,##0\)">
                  <c:v>0</c:v>
                </c:pt>
                <c:pt idx="4" formatCode="&quot;$&quot;#,##0_);\(&quot;$&quot;#,##0\)">
                  <c:v>0</c:v>
                </c:pt>
                <c:pt idx="5" formatCode="&quot;$&quot;#,##0_);\(&quot;$&quot;#,##0\)">
                  <c:v>0</c:v>
                </c:pt>
                <c:pt idx="6" formatCode="&quot;$&quot;#,##0_);\(&quot;$&quot;#,##0\)">
                  <c:v>0</c:v>
                </c:pt>
                <c:pt idx="7" formatCode="&quot;$&quot;#,##0_);\(&quot;$&quot;#,##0\)">
                  <c:v>0</c:v>
                </c:pt>
                <c:pt idx="8" formatCode="&quot;$&quot;#,##0_);\(&quot;$&quot;#,##0\)">
                  <c:v>0</c:v>
                </c:pt>
                <c:pt idx="9" formatCode="&quot;$&quot;#,##0_);\(&quot;$&quot;#,##0\)">
                  <c:v>0</c:v>
                </c:pt>
                <c:pt idx="10" formatCode="&quot;$&quot;#,##0_);\(&quot;$&quot;#,##0\)">
                  <c:v>0</c:v>
                </c:pt>
                <c:pt idx="11" formatCode="&quot;$&quot;#,##0_);\(&quot;$&quot;#,##0\)">
                  <c:v>0</c:v>
                </c:pt>
                <c:pt idx="12" formatCode="&quot;$&quot;#,##0_);\(&quot;$&quot;#,##0\)">
                  <c:v>0</c:v>
                </c:pt>
                <c:pt idx="13" formatCode="&quot;$&quot;#,##0_);\(&quot;$&quot;#,##0\)">
                  <c:v>0</c:v>
                </c:pt>
                <c:pt idx="14" formatCode="&quot;$&quot;#,##0_);\(&quot;$&quot;#,##0\)">
                  <c:v>0</c:v>
                </c:pt>
                <c:pt idx="15" formatCode="&quot;$&quot;#,##0_);\(&quot;$&quot;#,##0\)">
                  <c:v>0</c:v>
                </c:pt>
                <c:pt idx="16" formatCode="&quot;$&quot;#,##0_);\(&quot;$&quot;#,##0\)">
                  <c:v>0</c:v>
                </c:pt>
                <c:pt idx="17" formatCode="&quot;$&quot;#,##0_);\(&quot;$&quot;#,##0\)">
                  <c:v>0</c:v>
                </c:pt>
                <c:pt idx="18" formatCode="&quot;$&quot;#,##0_);\(&quot;$&quot;#,##0\)">
                  <c:v>0</c:v>
                </c:pt>
                <c:pt idx="19" formatCode="&quot;$&quot;#,##0_);\(&quot;$&quot;#,##0\)">
                  <c:v>0</c:v>
                </c:pt>
                <c:pt idx="20" formatCode="&quot;$&quot;#,##0_);\(&quot;$&quot;#,##0\)">
                  <c:v>0</c:v>
                </c:pt>
                <c:pt idx="21" formatCode="&quot;$&quot;#,##0_);\(&quot;$&quot;#,##0\)">
                  <c:v>0</c:v>
                </c:pt>
                <c:pt idx="22" formatCode="&quot;$&quot;#,##0_);\(&quot;$&quot;#,##0\)">
                  <c:v>0</c:v>
                </c:pt>
                <c:pt idx="23" formatCode="&quot;$&quot;#,##0_);\(&quot;$&quot;#,##0\)">
                  <c:v>0</c:v>
                </c:pt>
              </c:numCache>
            </c:numRef>
          </c:val>
          <c:smooth val="0"/>
          <c:extLst>
            <c:ext xmlns:c16="http://schemas.microsoft.com/office/drawing/2014/chart" uri="{C3380CC4-5D6E-409C-BE32-E72D297353CC}">
              <c16:uniqueId val="{00000001-068D-42B7-8517-07A105985AF5}"/>
            </c:ext>
          </c:extLst>
        </c:ser>
        <c:dLbls>
          <c:showLegendKey val="0"/>
          <c:showVal val="0"/>
          <c:showCatName val="0"/>
          <c:showSerName val="0"/>
          <c:showPercent val="0"/>
          <c:showBubbleSize val="0"/>
        </c:dLbls>
        <c:marker val="1"/>
        <c:smooth val="0"/>
        <c:axId val="212089472"/>
        <c:axId val="212095744"/>
      </c:lineChart>
      <c:catAx>
        <c:axId val="212089472"/>
        <c:scaling>
          <c:orientation val="minMax"/>
        </c:scaling>
        <c:delete val="0"/>
        <c:axPos val="b"/>
        <c:numFmt formatCode="mm/yyyy" sourceLinked="1"/>
        <c:majorTickMark val="out"/>
        <c:minorTickMark val="in"/>
        <c:tickLblPos val="nextTo"/>
        <c:txPr>
          <a:bodyPr rot="-2700000"/>
          <a:lstStyle/>
          <a:p>
            <a:pPr>
              <a:defRPr sz="900"/>
            </a:pPr>
            <a:endParaRPr lang="en-US"/>
          </a:p>
        </c:txPr>
        <c:crossAx val="212095744"/>
        <c:crosses val="autoZero"/>
        <c:auto val="0"/>
        <c:lblAlgn val="ctr"/>
        <c:lblOffset val="0"/>
        <c:tickLblSkip val="4"/>
        <c:tickMarkSkip val="4"/>
        <c:noMultiLvlLbl val="0"/>
      </c:catAx>
      <c:valAx>
        <c:axId val="212095744"/>
        <c:scaling>
          <c:orientation val="minMax"/>
        </c:scaling>
        <c:delete val="0"/>
        <c:axPos val="l"/>
        <c:majorGridlines/>
        <c:numFmt formatCode="&quot;$&quot;#,##0" sourceLinked="0"/>
        <c:majorTickMark val="out"/>
        <c:minorTickMark val="in"/>
        <c:tickLblPos val="nextTo"/>
        <c:txPr>
          <a:bodyPr/>
          <a:lstStyle/>
          <a:p>
            <a:pPr>
              <a:defRPr sz="900"/>
            </a:pPr>
            <a:endParaRPr lang="en-US"/>
          </a:p>
        </c:txPr>
        <c:crossAx val="212089472"/>
        <c:crosses val="autoZero"/>
        <c:crossBetween val="midCat"/>
      </c:valAx>
      <c:spPr>
        <a:ln>
          <a:solidFill>
            <a:sysClr val="windowText" lastClr="000000">
              <a:lumMod val="50000"/>
              <a:lumOff val="50000"/>
            </a:sysClr>
          </a:solidFill>
        </a:ln>
      </c:spPr>
    </c:plotArea>
    <c:legend>
      <c:legendPos val="r"/>
      <c:layout>
        <c:manualLayout>
          <c:xMode val="edge"/>
          <c:yMode val="edge"/>
          <c:x val="0.7893487211157425"/>
          <c:y val="0.34417906937934839"/>
          <c:w val="0.20607611548556434"/>
          <c:h val="0.2846316760837172"/>
        </c:manualLayout>
      </c:layout>
      <c:overlay val="0"/>
      <c:txPr>
        <a:bodyPr/>
        <a:lstStyle/>
        <a:p>
          <a:pPr>
            <a:defRPr sz="900"/>
          </a:pPr>
          <a:endParaRPr lang="en-US"/>
        </a:p>
      </c:txPr>
    </c:legend>
    <c:plotVisOnly val="1"/>
    <c:dispBlanksAs val="gap"/>
    <c:showDLblsOverMax val="0"/>
  </c:chart>
  <c:spPr>
    <a:solidFill>
      <a:srgbClr val="F7EAE9"/>
    </a:solidFill>
    <a:effectLst>
      <a:outerShdw blurRad="50800" dist="38100" dir="2700000" algn="tl" rotWithShape="0">
        <a:prstClr val="black">
          <a:alpha val="40000"/>
        </a:prstClr>
      </a:outerShdw>
    </a:effectLst>
    <a:scene3d>
      <a:camera prst="orthographicFront"/>
      <a:lightRig rig="morning" dir="t"/>
    </a:scene3d>
    <a:sp3d prstMaterial="matte"/>
  </c:spPr>
  <c:txPr>
    <a:bodyPr/>
    <a:lstStyle/>
    <a:p>
      <a:pPr>
        <a:defRPr b="0"/>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'5A-Loss Trend'!$I$9</c:f>
          <c:strCache>
            <c:ptCount val="1"/>
            <c:pt idx="0">
              <c:v>Frequency</c:v>
            </c:pt>
          </c:strCache>
        </c:strRef>
      </c:tx>
      <c:overlay val="0"/>
    </c:title>
    <c:autoTitleDeleted val="0"/>
    <c:plotArea>
      <c:layout>
        <c:manualLayout>
          <c:layoutTarget val="inner"/>
          <c:xMode val="edge"/>
          <c:yMode val="edge"/>
          <c:x val="9.5678262792673524E-2"/>
          <c:y val="0.17279564860593979"/>
          <c:w val="0.7105948699973712"/>
          <c:h val="0.65565580344126784"/>
        </c:manualLayout>
      </c:layout>
      <c:lineChart>
        <c:grouping val="standard"/>
        <c:varyColors val="0"/>
        <c:ser>
          <c:idx val="1"/>
          <c:order val="0"/>
          <c:tx>
            <c:strRef>
              <c:f>'5A-Loss Trend'!$H$8:$K$8</c:f>
              <c:strCache>
                <c:ptCount val="1"/>
                <c:pt idx="0">
                  <c:v>Quarterly</c:v>
                </c:pt>
              </c:strCache>
            </c:strRef>
          </c:tx>
          <c:spPr>
            <a:ln>
              <a:solidFill>
                <a:srgbClr val="9BBB59">
                  <a:lumMod val="75000"/>
                </a:srgbClr>
              </a:solidFill>
            </a:ln>
            <a:effectLst>
              <a:outerShdw blurRad="50800" dist="38100" dir="2700000" algn="tl" rotWithShape="0">
                <a:prstClr val="black">
                  <a:alpha val="40000"/>
                </a:prstClr>
              </a:outerShdw>
            </a:effectLst>
          </c:spPr>
          <c:marker>
            <c:symbol val="diamond"/>
            <c:size val="6"/>
            <c:spPr>
              <a:solidFill>
                <a:srgbClr val="9BBB59">
                  <a:lumMod val="50000"/>
                </a:srgbClr>
              </a:solidFill>
              <a:ln>
                <a:solidFill>
                  <a:srgbClr val="9BBB59">
                    <a:lumMod val="50000"/>
                  </a:srgbClr>
                </a:solidFill>
              </a:ln>
              <a:effectLst>
                <a:outerShdw blurRad="50800" dist="38100" dir="2700000" algn="tl" rotWithShape="0">
                  <a:prstClr val="black">
                    <a:alpha val="40000"/>
                  </a:prstClr>
                </a:outerShdw>
              </a:effectLst>
            </c:spPr>
          </c:marker>
          <c:cat>
            <c:strRef>
              <c:f>'5A-Loss Trend'!$H$10:$H$33</c:f>
              <c:strCache>
                <c:ptCount val="24"/>
                <c:pt idx="0">
                  <c:v>_Q 20__</c:v>
                </c:pt>
                <c:pt idx="1">
                  <c:v>_Q 20__</c:v>
                </c:pt>
                <c:pt idx="2">
                  <c:v>_Q 20__</c:v>
                </c:pt>
                <c:pt idx="3">
                  <c:v>_Q 20__</c:v>
                </c:pt>
                <c:pt idx="4">
                  <c:v>_Q 20__</c:v>
                </c:pt>
                <c:pt idx="5">
                  <c:v>_Q 20__</c:v>
                </c:pt>
                <c:pt idx="6">
                  <c:v>_Q 20__</c:v>
                </c:pt>
                <c:pt idx="7">
                  <c:v>_Q 20__</c:v>
                </c:pt>
                <c:pt idx="8">
                  <c:v>_Q 20__</c:v>
                </c:pt>
                <c:pt idx="9">
                  <c:v>_Q 20__</c:v>
                </c:pt>
                <c:pt idx="10">
                  <c:v>_Q 20__</c:v>
                </c:pt>
                <c:pt idx="11">
                  <c:v>_Q 20__</c:v>
                </c:pt>
                <c:pt idx="12">
                  <c:v>_Q 20__</c:v>
                </c:pt>
                <c:pt idx="13">
                  <c:v>_Q 20__</c:v>
                </c:pt>
                <c:pt idx="14">
                  <c:v>_Q 20__</c:v>
                </c:pt>
                <c:pt idx="15">
                  <c:v>_Q 20__</c:v>
                </c:pt>
                <c:pt idx="16">
                  <c:v>_Q 20__</c:v>
                </c:pt>
                <c:pt idx="17">
                  <c:v>_Q 20__</c:v>
                </c:pt>
                <c:pt idx="18">
                  <c:v>_Q 20__</c:v>
                </c:pt>
                <c:pt idx="19">
                  <c:v>_Q 20__</c:v>
                </c:pt>
                <c:pt idx="20">
                  <c:v>_Q 20__</c:v>
                </c:pt>
                <c:pt idx="21">
                  <c:v>_Q 20__</c:v>
                </c:pt>
                <c:pt idx="22">
                  <c:v>_Q 20__</c:v>
                </c:pt>
                <c:pt idx="23">
                  <c:v>_Q 20__</c:v>
                </c:pt>
              </c:strCache>
            </c:strRef>
          </c:cat>
          <c:val>
            <c:numRef>
              <c:f>'5A-Loss Trend'!$I$10:$I$33</c:f>
              <c:numCache>
                <c:formatCode>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E4F4-426C-84EE-6272ACCAA2C2}"/>
            </c:ext>
          </c:extLst>
        </c:ser>
        <c:ser>
          <c:idx val="0"/>
          <c:order val="1"/>
          <c:tx>
            <c:strRef>
              <c:f>'5A-Loss Trend'!$M$8:$P$8</c:f>
              <c:strCache>
                <c:ptCount val="1"/>
                <c:pt idx="0">
                  <c:v>Four-Quarter-Ending</c:v>
                </c:pt>
              </c:strCache>
            </c:strRef>
          </c:tx>
          <c:spPr>
            <a:effectLst>
              <a:outerShdw blurRad="50800" dist="38100" dir="2700000" algn="tl" rotWithShape="0">
                <a:prstClr val="black">
                  <a:alpha val="40000"/>
                </a:prstClr>
              </a:outerShdw>
            </a:effectLst>
          </c:spPr>
          <c:marker>
            <c:symbol val="circle"/>
            <c:size val="4"/>
            <c:spPr>
              <a:solidFill>
                <a:srgbClr val="4BACC6">
                  <a:lumMod val="75000"/>
                </a:srgbClr>
              </a:solidFill>
              <a:effectLst>
                <a:outerShdw blurRad="50800" dist="38100" dir="2700000" algn="tl" rotWithShape="0">
                  <a:prstClr val="black">
                    <a:alpha val="40000"/>
                  </a:prstClr>
                </a:outerShdw>
              </a:effectLst>
            </c:spPr>
          </c:marker>
          <c:cat>
            <c:strRef>
              <c:f>'5A-Loss Trend'!$H$10:$H$33</c:f>
              <c:strCache>
                <c:ptCount val="24"/>
                <c:pt idx="0">
                  <c:v>_Q 20__</c:v>
                </c:pt>
                <c:pt idx="1">
                  <c:v>_Q 20__</c:v>
                </c:pt>
                <c:pt idx="2">
                  <c:v>_Q 20__</c:v>
                </c:pt>
                <c:pt idx="3">
                  <c:v>_Q 20__</c:v>
                </c:pt>
                <c:pt idx="4">
                  <c:v>_Q 20__</c:v>
                </c:pt>
                <c:pt idx="5">
                  <c:v>_Q 20__</c:v>
                </c:pt>
                <c:pt idx="6">
                  <c:v>_Q 20__</c:v>
                </c:pt>
                <c:pt idx="7">
                  <c:v>_Q 20__</c:v>
                </c:pt>
                <c:pt idx="8">
                  <c:v>_Q 20__</c:v>
                </c:pt>
                <c:pt idx="9">
                  <c:v>_Q 20__</c:v>
                </c:pt>
                <c:pt idx="10">
                  <c:v>_Q 20__</c:v>
                </c:pt>
                <c:pt idx="11">
                  <c:v>_Q 20__</c:v>
                </c:pt>
                <c:pt idx="12">
                  <c:v>_Q 20__</c:v>
                </c:pt>
                <c:pt idx="13">
                  <c:v>_Q 20__</c:v>
                </c:pt>
                <c:pt idx="14">
                  <c:v>_Q 20__</c:v>
                </c:pt>
                <c:pt idx="15">
                  <c:v>_Q 20__</c:v>
                </c:pt>
                <c:pt idx="16">
                  <c:v>_Q 20__</c:v>
                </c:pt>
                <c:pt idx="17">
                  <c:v>_Q 20__</c:v>
                </c:pt>
                <c:pt idx="18">
                  <c:v>_Q 20__</c:v>
                </c:pt>
                <c:pt idx="19">
                  <c:v>_Q 20__</c:v>
                </c:pt>
                <c:pt idx="20">
                  <c:v>_Q 20__</c:v>
                </c:pt>
                <c:pt idx="21">
                  <c:v>_Q 20__</c:v>
                </c:pt>
                <c:pt idx="22">
                  <c:v>_Q 20__</c:v>
                </c:pt>
                <c:pt idx="23">
                  <c:v>_Q 20__</c:v>
                </c:pt>
              </c:strCache>
            </c:strRef>
          </c:cat>
          <c:val>
            <c:numRef>
              <c:f>'5A-Loss Trend'!$N$10:$N$33</c:f>
              <c:numCache>
                <c:formatCode>0.0%</c:formatCode>
                <c:ptCount val="24"/>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1"/>
          <c:extLst>
            <c:ext xmlns:c16="http://schemas.microsoft.com/office/drawing/2014/chart" uri="{C3380CC4-5D6E-409C-BE32-E72D297353CC}">
              <c16:uniqueId val="{00000001-E4F4-426C-84EE-6272ACCAA2C2}"/>
            </c:ext>
          </c:extLst>
        </c:ser>
        <c:dLbls>
          <c:showLegendKey val="0"/>
          <c:showVal val="0"/>
          <c:showCatName val="0"/>
          <c:showSerName val="0"/>
          <c:showPercent val="0"/>
          <c:showBubbleSize val="0"/>
        </c:dLbls>
        <c:marker val="1"/>
        <c:smooth val="0"/>
        <c:axId val="212264832"/>
        <c:axId val="212418560"/>
      </c:lineChart>
      <c:catAx>
        <c:axId val="212264832"/>
        <c:scaling>
          <c:orientation val="minMax"/>
        </c:scaling>
        <c:delete val="0"/>
        <c:axPos val="b"/>
        <c:numFmt formatCode="General" sourceLinked="1"/>
        <c:majorTickMark val="out"/>
        <c:minorTickMark val="in"/>
        <c:tickLblPos val="nextTo"/>
        <c:txPr>
          <a:bodyPr rot="-2700000"/>
          <a:lstStyle/>
          <a:p>
            <a:pPr>
              <a:defRPr sz="600"/>
            </a:pPr>
            <a:endParaRPr lang="en-US"/>
          </a:p>
        </c:txPr>
        <c:crossAx val="212418560"/>
        <c:crosses val="autoZero"/>
        <c:auto val="0"/>
        <c:lblAlgn val="ctr"/>
        <c:lblOffset val="0"/>
        <c:tickLblSkip val="2"/>
        <c:tickMarkSkip val="2"/>
        <c:noMultiLvlLbl val="0"/>
      </c:catAx>
      <c:valAx>
        <c:axId val="212418560"/>
        <c:scaling>
          <c:orientation val="minMax"/>
        </c:scaling>
        <c:delete val="0"/>
        <c:axPos val="l"/>
        <c:majorGridlines/>
        <c:numFmt formatCode="0.0%" sourceLinked="0"/>
        <c:majorTickMark val="out"/>
        <c:minorTickMark val="in"/>
        <c:tickLblPos val="nextTo"/>
        <c:txPr>
          <a:bodyPr/>
          <a:lstStyle/>
          <a:p>
            <a:pPr>
              <a:defRPr sz="900"/>
            </a:pPr>
            <a:endParaRPr lang="en-US"/>
          </a:p>
        </c:txPr>
        <c:crossAx val="212264832"/>
        <c:crosses val="autoZero"/>
        <c:crossBetween val="midCat"/>
      </c:valAx>
      <c:spPr>
        <a:ln>
          <a:solidFill>
            <a:sysClr val="windowText" lastClr="000000">
              <a:lumMod val="50000"/>
              <a:lumOff val="50000"/>
            </a:sysClr>
          </a:solidFill>
        </a:ln>
      </c:spPr>
    </c:plotArea>
    <c:legend>
      <c:legendPos val="r"/>
      <c:layout>
        <c:manualLayout>
          <c:xMode val="edge"/>
          <c:yMode val="edge"/>
          <c:x val="0.7991526684164475"/>
          <c:y val="0.31967556138817843"/>
          <c:w val="0.20084728081486641"/>
          <c:h val="0.3078099249221864"/>
        </c:manualLayout>
      </c:layout>
      <c:overlay val="0"/>
      <c:txPr>
        <a:bodyPr/>
        <a:lstStyle/>
        <a:p>
          <a:pPr>
            <a:defRPr sz="900"/>
          </a:pPr>
          <a:endParaRPr lang="en-US"/>
        </a:p>
      </c:txPr>
    </c:legend>
    <c:plotVisOnly val="1"/>
    <c:dispBlanksAs val="gap"/>
    <c:showDLblsOverMax val="0"/>
  </c:chart>
  <c:spPr>
    <a:solidFill>
      <a:srgbClr val="C0504D">
        <a:lumMod val="20000"/>
        <a:lumOff val="80000"/>
      </a:srgbClr>
    </a:solidFill>
    <a:effectLst>
      <a:outerShdw blurRad="50800" dist="38100" dir="2700000" algn="tl" rotWithShape="0">
        <a:prstClr val="black">
          <a:alpha val="40000"/>
        </a:prstClr>
      </a:outerShdw>
    </a:effectLst>
    <a:scene3d>
      <a:camera prst="orthographicFront"/>
      <a:lightRig rig="morning" dir="t"/>
    </a:scene3d>
    <a:sp3d prstMaterial="matte"/>
  </c:spPr>
  <c:printSettings>
    <c:headerFooter/>
    <c:pageMargins b="0.75000000000001465" l="0.70000000000000062" r="0.70000000000000062" t="0.75000000000001465"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'5A-Loss Trend'!$J$9</c:f>
          <c:strCache>
            <c:ptCount val="1"/>
            <c:pt idx="0">
              <c:v>Severity</c:v>
            </c:pt>
          </c:strCache>
        </c:strRef>
      </c:tx>
      <c:overlay val="0"/>
    </c:title>
    <c:autoTitleDeleted val="0"/>
    <c:plotArea>
      <c:layout>
        <c:manualLayout>
          <c:layoutTarget val="inner"/>
          <c:xMode val="edge"/>
          <c:yMode val="edge"/>
          <c:x val="9.5678258967629728E-2"/>
          <c:y val="0.19432888597258677"/>
          <c:w val="0.71321522309711294"/>
          <c:h val="0.63331433436772144"/>
        </c:manualLayout>
      </c:layout>
      <c:lineChart>
        <c:grouping val="standard"/>
        <c:varyColors val="0"/>
        <c:ser>
          <c:idx val="1"/>
          <c:order val="0"/>
          <c:tx>
            <c:strRef>
              <c:f>'5A-Loss Trend'!$H$8:$K$8</c:f>
              <c:strCache>
                <c:ptCount val="1"/>
                <c:pt idx="0">
                  <c:v>Quarterly</c:v>
                </c:pt>
              </c:strCache>
            </c:strRef>
          </c:tx>
          <c:spPr>
            <a:ln>
              <a:solidFill>
                <a:srgbClr val="9BBB59">
                  <a:lumMod val="75000"/>
                </a:srgbClr>
              </a:solidFill>
            </a:ln>
            <a:effectLst>
              <a:outerShdw blurRad="50800" dist="38100" dir="2700000" algn="tl" rotWithShape="0">
                <a:prstClr val="black">
                  <a:alpha val="40000"/>
                </a:prstClr>
              </a:outerShdw>
            </a:effectLst>
          </c:spPr>
          <c:marker>
            <c:symbol val="diamond"/>
            <c:size val="6"/>
            <c:spPr>
              <a:solidFill>
                <a:srgbClr val="9BBB59">
                  <a:lumMod val="50000"/>
                </a:srgbClr>
              </a:solidFill>
              <a:ln>
                <a:solidFill>
                  <a:srgbClr val="9BBB59">
                    <a:lumMod val="50000"/>
                  </a:srgbClr>
                </a:solidFill>
              </a:ln>
              <a:effectLst>
                <a:outerShdw blurRad="50800" dist="38100" dir="2700000" algn="tl" rotWithShape="0">
                  <a:prstClr val="black">
                    <a:alpha val="40000"/>
                  </a:prstClr>
                </a:outerShdw>
              </a:effectLst>
            </c:spPr>
          </c:marker>
          <c:cat>
            <c:strRef>
              <c:f>'5A-Loss Trend'!$H$10:$H$33</c:f>
              <c:strCache>
                <c:ptCount val="24"/>
                <c:pt idx="0">
                  <c:v>_Q 20__</c:v>
                </c:pt>
                <c:pt idx="1">
                  <c:v>_Q 20__</c:v>
                </c:pt>
                <c:pt idx="2">
                  <c:v>_Q 20__</c:v>
                </c:pt>
                <c:pt idx="3">
                  <c:v>_Q 20__</c:v>
                </c:pt>
                <c:pt idx="4">
                  <c:v>_Q 20__</c:v>
                </c:pt>
                <c:pt idx="5">
                  <c:v>_Q 20__</c:v>
                </c:pt>
                <c:pt idx="6">
                  <c:v>_Q 20__</c:v>
                </c:pt>
                <c:pt idx="7">
                  <c:v>_Q 20__</c:v>
                </c:pt>
                <c:pt idx="8">
                  <c:v>_Q 20__</c:v>
                </c:pt>
                <c:pt idx="9">
                  <c:v>_Q 20__</c:v>
                </c:pt>
                <c:pt idx="10">
                  <c:v>_Q 20__</c:v>
                </c:pt>
                <c:pt idx="11">
                  <c:v>_Q 20__</c:v>
                </c:pt>
                <c:pt idx="12">
                  <c:v>_Q 20__</c:v>
                </c:pt>
                <c:pt idx="13">
                  <c:v>_Q 20__</c:v>
                </c:pt>
                <c:pt idx="14">
                  <c:v>_Q 20__</c:v>
                </c:pt>
                <c:pt idx="15">
                  <c:v>_Q 20__</c:v>
                </c:pt>
                <c:pt idx="16">
                  <c:v>_Q 20__</c:v>
                </c:pt>
                <c:pt idx="17">
                  <c:v>_Q 20__</c:v>
                </c:pt>
                <c:pt idx="18">
                  <c:v>_Q 20__</c:v>
                </c:pt>
                <c:pt idx="19">
                  <c:v>_Q 20__</c:v>
                </c:pt>
                <c:pt idx="20">
                  <c:v>_Q 20__</c:v>
                </c:pt>
                <c:pt idx="21">
                  <c:v>_Q 20__</c:v>
                </c:pt>
                <c:pt idx="22">
                  <c:v>_Q 20__</c:v>
                </c:pt>
                <c:pt idx="23">
                  <c:v>_Q 20__</c:v>
                </c:pt>
              </c:strCache>
            </c:strRef>
          </c:cat>
          <c:val>
            <c:numRef>
              <c:f>'5A-Loss Trend'!$J$10:$J$33</c:f>
              <c:numCache>
                <c:formatCode>"$"#,##0_);\("$"#,##0\)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1"/>
          <c:extLst>
            <c:ext xmlns:c16="http://schemas.microsoft.com/office/drawing/2014/chart" uri="{C3380CC4-5D6E-409C-BE32-E72D297353CC}">
              <c16:uniqueId val="{00000000-789B-4E6F-B1EF-8C56E14062A8}"/>
            </c:ext>
          </c:extLst>
        </c:ser>
        <c:ser>
          <c:idx val="0"/>
          <c:order val="1"/>
          <c:tx>
            <c:strRef>
              <c:f>'5A-Loss Trend'!$M$8:$P$8</c:f>
              <c:strCache>
                <c:ptCount val="1"/>
                <c:pt idx="0">
                  <c:v>Four-Quarter-Ending</c:v>
                </c:pt>
              </c:strCache>
            </c:strRef>
          </c:tx>
          <c:spPr>
            <a:effectLst>
              <a:outerShdw blurRad="50800" dist="38100" dir="2700000" algn="tl" rotWithShape="0">
                <a:prstClr val="black">
                  <a:alpha val="40000"/>
                </a:prstClr>
              </a:outerShdw>
            </a:effectLst>
          </c:spPr>
          <c:marker>
            <c:symbol val="circle"/>
            <c:size val="4"/>
            <c:spPr>
              <a:effectLst>
                <a:outerShdw blurRad="50800" dist="38100" dir="2700000" algn="tl" rotWithShape="0">
                  <a:prstClr val="black">
                    <a:alpha val="40000"/>
                  </a:prstClr>
                </a:outerShdw>
              </a:effectLst>
            </c:spPr>
          </c:marker>
          <c:cat>
            <c:strRef>
              <c:f>'5A-Loss Trend'!$H$10:$H$33</c:f>
              <c:strCache>
                <c:ptCount val="24"/>
                <c:pt idx="0">
                  <c:v>_Q 20__</c:v>
                </c:pt>
                <c:pt idx="1">
                  <c:v>_Q 20__</c:v>
                </c:pt>
                <c:pt idx="2">
                  <c:v>_Q 20__</c:v>
                </c:pt>
                <c:pt idx="3">
                  <c:v>_Q 20__</c:v>
                </c:pt>
                <c:pt idx="4">
                  <c:v>_Q 20__</c:v>
                </c:pt>
                <c:pt idx="5">
                  <c:v>_Q 20__</c:v>
                </c:pt>
                <c:pt idx="6">
                  <c:v>_Q 20__</c:v>
                </c:pt>
                <c:pt idx="7">
                  <c:v>_Q 20__</c:v>
                </c:pt>
                <c:pt idx="8">
                  <c:v>_Q 20__</c:v>
                </c:pt>
                <c:pt idx="9">
                  <c:v>_Q 20__</c:v>
                </c:pt>
                <c:pt idx="10">
                  <c:v>_Q 20__</c:v>
                </c:pt>
                <c:pt idx="11">
                  <c:v>_Q 20__</c:v>
                </c:pt>
                <c:pt idx="12">
                  <c:v>_Q 20__</c:v>
                </c:pt>
                <c:pt idx="13">
                  <c:v>_Q 20__</c:v>
                </c:pt>
                <c:pt idx="14">
                  <c:v>_Q 20__</c:v>
                </c:pt>
                <c:pt idx="15">
                  <c:v>_Q 20__</c:v>
                </c:pt>
                <c:pt idx="16">
                  <c:v>_Q 20__</c:v>
                </c:pt>
                <c:pt idx="17">
                  <c:v>_Q 20__</c:v>
                </c:pt>
                <c:pt idx="18">
                  <c:v>_Q 20__</c:v>
                </c:pt>
                <c:pt idx="19">
                  <c:v>_Q 20__</c:v>
                </c:pt>
                <c:pt idx="20">
                  <c:v>_Q 20__</c:v>
                </c:pt>
                <c:pt idx="21">
                  <c:v>_Q 20__</c:v>
                </c:pt>
                <c:pt idx="22">
                  <c:v>_Q 20__</c:v>
                </c:pt>
                <c:pt idx="23">
                  <c:v>_Q 20__</c:v>
                </c:pt>
              </c:strCache>
            </c:strRef>
          </c:cat>
          <c:val>
            <c:numRef>
              <c:f>'5A-Loss Trend'!$O$10:$O$33</c:f>
              <c:numCache>
                <c:formatCode>"$"#,##0</c:formatCode>
                <c:ptCount val="24"/>
                <c:pt idx="3" formatCode="&quot;$&quot;#,##0_);\(&quot;$&quot;#,##0\)">
                  <c:v>0</c:v>
                </c:pt>
                <c:pt idx="4" formatCode="&quot;$&quot;#,##0_);\(&quot;$&quot;#,##0\)">
                  <c:v>0</c:v>
                </c:pt>
                <c:pt idx="5" formatCode="&quot;$&quot;#,##0_);\(&quot;$&quot;#,##0\)">
                  <c:v>0</c:v>
                </c:pt>
                <c:pt idx="6" formatCode="&quot;$&quot;#,##0_);\(&quot;$&quot;#,##0\)">
                  <c:v>0</c:v>
                </c:pt>
                <c:pt idx="7" formatCode="&quot;$&quot;#,##0_);\(&quot;$&quot;#,##0\)">
                  <c:v>0</c:v>
                </c:pt>
                <c:pt idx="8" formatCode="&quot;$&quot;#,##0_);\(&quot;$&quot;#,##0\)">
                  <c:v>0</c:v>
                </c:pt>
                <c:pt idx="9" formatCode="&quot;$&quot;#,##0_);\(&quot;$&quot;#,##0\)">
                  <c:v>0</c:v>
                </c:pt>
                <c:pt idx="10" formatCode="&quot;$&quot;#,##0_);\(&quot;$&quot;#,##0\)">
                  <c:v>0</c:v>
                </c:pt>
                <c:pt idx="11" formatCode="&quot;$&quot;#,##0_);\(&quot;$&quot;#,##0\)">
                  <c:v>0</c:v>
                </c:pt>
                <c:pt idx="12" formatCode="&quot;$&quot;#,##0_);\(&quot;$&quot;#,##0\)">
                  <c:v>0</c:v>
                </c:pt>
                <c:pt idx="13" formatCode="&quot;$&quot;#,##0_);\(&quot;$&quot;#,##0\)">
                  <c:v>0</c:v>
                </c:pt>
                <c:pt idx="14" formatCode="&quot;$&quot;#,##0_);\(&quot;$&quot;#,##0\)">
                  <c:v>0</c:v>
                </c:pt>
                <c:pt idx="15" formatCode="&quot;$&quot;#,##0_);\(&quot;$&quot;#,##0\)">
                  <c:v>0</c:v>
                </c:pt>
                <c:pt idx="16" formatCode="&quot;$&quot;#,##0_);\(&quot;$&quot;#,##0\)">
                  <c:v>0</c:v>
                </c:pt>
                <c:pt idx="17" formatCode="&quot;$&quot;#,##0_);\(&quot;$&quot;#,##0\)">
                  <c:v>0</c:v>
                </c:pt>
                <c:pt idx="18" formatCode="&quot;$&quot;#,##0_);\(&quot;$&quot;#,##0\)">
                  <c:v>0</c:v>
                </c:pt>
                <c:pt idx="19" formatCode="&quot;$&quot;#,##0_);\(&quot;$&quot;#,##0\)">
                  <c:v>0</c:v>
                </c:pt>
                <c:pt idx="20" formatCode="&quot;$&quot;#,##0_);\(&quot;$&quot;#,##0\)">
                  <c:v>0</c:v>
                </c:pt>
                <c:pt idx="21" formatCode="&quot;$&quot;#,##0_);\(&quot;$&quot;#,##0\)">
                  <c:v>0</c:v>
                </c:pt>
                <c:pt idx="22" formatCode="&quot;$&quot;#,##0_);\(&quot;$&quot;#,##0\)">
                  <c:v>0</c:v>
                </c:pt>
                <c:pt idx="23" formatCode="&quot;$&quot;#,##0_);\(&quot;$&quot;#,##0\)">
                  <c:v>0</c:v>
                </c:pt>
              </c:numCache>
            </c:numRef>
          </c:val>
          <c:smooth val="1"/>
          <c:extLst>
            <c:ext xmlns:c16="http://schemas.microsoft.com/office/drawing/2014/chart" uri="{C3380CC4-5D6E-409C-BE32-E72D297353CC}">
              <c16:uniqueId val="{00000001-789B-4E6F-B1EF-8C56E14062A8}"/>
            </c:ext>
          </c:extLst>
        </c:ser>
        <c:dLbls>
          <c:showLegendKey val="0"/>
          <c:showVal val="0"/>
          <c:showCatName val="0"/>
          <c:showSerName val="0"/>
          <c:showPercent val="0"/>
          <c:showBubbleSize val="0"/>
        </c:dLbls>
        <c:marker val="1"/>
        <c:smooth val="0"/>
        <c:axId val="212459520"/>
        <c:axId val="212461440"/>
      </c:lineChart>
      <c:catAx>
        <c:axId val="212459520"/>
        <c:scaling>
          <c:orientation val="minMax"/>
        </c:scaling>
        <c:delete val="0"/>
        <c:axPos val="b"/>
        <c:numFmt formatCode="General" sourceLinked="0"/>
        <c:majorTickMark val="out"/>
        <c:minorTickMark val="in"/>
        <c:tickLblPos val="nextTo"/>
        <c:txPr>
          <a:bodyPr rot="-2700000"/>
          <a:lstStyle/>
          <a:p>
            <a:pPr>
              <a:defRPr sz="600"/>
            </a:pPr>
            <a:endParaRPr lang="en-US"/>
          </a:p>
        </c:txPr>
        <c:crossAx val="212461440"/>
        <c:crosses val="autoZero"/>
        <c:auto val="0"/>
        <c:lblAlgn val="ctr"/>
        <c:lblOffset val="0"/>
        <c:tickLblSkip val="2"/>
        <c:tickMarkSkip val="2"/>
        <c:noMultiLvlLbl val="0"/>
      </c:catAx>
      <c:valAx>
        <c:axId val="212461440"/>
        <c:scaling>
          <c:orientation val="minMax"/>
        </c:scaling>
        <c:delete val="0"/>
        <c:axPos val="l"/>
        <c:majorGridlines/>
        <c:numFmt formatCode="&quot;$&quot;#,##0" sourceLinked="0"/>
        <c:majorTickMark val="out"/>
        <c:minorTickMark val="in"/>
        <c:tickLblPos val="nextTo"/>
        <c:txPr>
          <a:bodyPr/>
          <a:lstStyle/>
          <a:p>
            <a:pPr>
              <a:defRPr sz="900"/>
            </a:pPr>
            <a:endParaRPr lang="en-US"/>
          </a:p>
        </c:txPr>
        <c:crossAx val="212459520"/>
        <c:crossesAt val="1"/>
        <c:crossBetween val="midCat"/>
      </c:valAx>
      <c:spPr>
        <a:ln>
          <a:solidFill>
            <a:sysClr val="windowText" lastClr="000000">
              <a:lumMod val="50000"/>
              <a:lumOff val="50000"/>
            </a:sysClr>
          </a:solidFill>
        </a:ln>
      </c:spPr>
    </c:plotArea>
    <c:legend>
      <c:legendPos val="r"/>
      <c:layout>
        <c:manualLayout>
          <c:xMode val="edge"/>
          <c:yMode val="edge"/>
          <c:x val="0.7991526684164475"/>
          <c:y val="0.31967556138817865"/>
          <c:w val="0.20084739407574634"/>
          <c:h val="0.26569771942046116"/>
        </c:manualLayout>
      </c:layout>
      <c:overlay val="0"/>
      <c:txPr>
        <a:bodyPr/>
        <a:lstStyle/>
        <a:p>
          <a:pPr>
            <a:defRPr sz="900"/>
          </a:pPr>
          <a:endParaRPr lang="en-US"/>
        </a:p>
      </c:txPr>
    </c:legend>
    <c:plotVisOnly val="1"/>
    <c:dispBlanksAs val="gap"/>
    <c:showDLblsOverMax val="0"/>
  </c:chart>
  <c:spPr>
    <a:solidFill>
      <a:srgbClr val="C0504D">
        <a:lumMod val="20000"/>
        <a:lumOff val="80000"/>
      </a:srgbClr>
    </a:solidFill>
    <a:effectLst>
      <a:outerShdw blurRad="50800" dist="38100" dir="2700000" algn="tl" rotWithShape="0">
        <a:prstClr val="black">
          <a:alpha val="40000"/>
        </a:prstClr>
      </a:outerShdw>
    </a:effectLst>
    <a:scene3d>
      <a:camera prst="orthographicFront"/>
      <a:lightRig rig="morning" dir="t"/>
    </a:scene3d>
    <a:sp3d prstMaterial="matte"/>
  </c:spPr>
  <c:printSettings>
    <c:headerFooter/>
    <c:pageMargins b="0.75" l="0.25" r="0.25"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'5A-Loss Trend'!$K$9</c:f>
          <c:strCache>
            <c:ptCount val="1"/>
            <c:pt idx="0">
              <c:v>Pure Premium</c:v>
            </c:pt>
          </c:strCache>
        </c:strRef>
      </c:tx>
      <c:layout>
        <c:manualLayout>
          <c:xMode val="edge"/>
          <c:yMode val="edge"/>
          <c:x val="0.36429722110350382"/>
          <c:y val="0"/>
        </c:manualLayout>
      </c:layout>
      <c:overlay val="0"/>
    </c:title>
    <c:autoTitleDeleted val="0"/>
    <c:plotArea>
      <c:layout>
        <c:manualLayout>
          <c:layoutTarget val="inner"/>
          <c:xMode val="edge"/>
          <c:yMode val="edge"/>
          <c:x val="9.5678220206651426E-2"/>
          <c:y val="0.17740850287115498"/>
          <c:w val="0.71051945247351889"/>
          <c:h val="0.65565580344126806"/>
        </c:manualLayout>
      </c:layout>
      <c:lineChart>
        <c:grouping val="standard"/>
        <c:varyColors val="0"/>
        <c:ser>
          <c:idx val="1"/>
          <c:order val="0"/>
          <c:tx>
            <c:strRef>
              <c:f>'5A-Loss Trend'!$H$8:$K$8</c:f>
              <c:strCache>
                <c:ptCount val="1"/>
                <c:pt idx="0">
                  <c:v>Quarterly</c:v>
                </c:pt>
              </c:strCache>
            </c:strRef>
          </c:tx>
          <c:spPr>
            <a:ln>
              <a:solidFill>
                <a:srgbClr val="9BBB59">
                  <a:lumMod val="75000"/>
                </a:srgbClr>
              </a:solidFill>
            </a:ln>
            <a:effectLst>
              <a:outerShdw blurRad="50800" dist="38100" dir="2700000" algn="tl" rotWithShape="0">
                <a:prstClr val="black">
                  <a:alpha val="40000"/>
                </a:prstClr>
              </a:outerShdw>
            </a:effectLst>
          </c:spPr>
          <c:marker>
            <c:symbol val="diamond"/>
            <c:size val="6"/>
            <c:spPr>
              <a:solidFill>
                <a:srgbClr val="9BBB59">
                  <a:lumMod val="50000"/>
                </a:srgbClr>
              </a:solidFill>
              <a:ln>
                <a:solidFill>
                  <a:srgbClr val="9BBB59">
                    <a:lumMod val="50000"/>
                  </a:srgbClr>
                </a:solidFill>
              </a:ln>
              <a:effectLst>
                <a:outerShdw blurRad="50800" dist="38100" dir="2700000" algn="tl" rotWithShape="0">
                  <a:prstClr val="black">
                    <a:alpha val="40000"/>
                  </a:prstClr>
                </a:outerShdw>
              </a:effectLst>
            </c:spPr>
          </c:marker>
          <c:cat>
            <c:strRef>
              <c:f>'5A-Loss Trend'!$H$10:$H$33</c:f>
              <c:strCache>
                <c:ptCount val="24"/>
                <c:pt idx="0">
                  <c:v>_Q 20__</c:v>
                </c:pt>
                <c:pt idx="1">
                  <c:v>_Q 20__</c:v>
                </c:pt>
                <c:pt idx="2">
                  <c:v>_Q 20__</c:v>
                </c:pt>
                <c:pt idx="3">
                  <c:v>_Q 20__</c:v>
                </c:pt>
                <c:pt idx="4">
                  <c:v>_Q 20__</c:v>
                </c:pt>
                <c:pt idx="5">
                  <c:v>_Q 20__</c:v>
                </c:pt>
                <c:pt idx="6">
                  <c:v>_Q 20__</c:v>
                </c:pt>
                <c:pt idx="7">
                  <c:v>_Q 20__</c:v>
                </c:pt>
                <c:pt idx="8">
                  <c:v>_Q 20__</c:v>
                </c:pt>
                <c:pt idx="9">
                  <c:v>_Q 20__</c:v>
                </c:pt>
                <c:pt idx="10">
                  <c:v>_Q 20__</c:v>
                </c:pt>
                <c:pt idx="11">
                  <c:v>_Q 20__</c:v>
                </c:pt>
                <c:pt idx="12">
                  <c:v>_Q 20__</c:v>
                </c:pt>
                <c:pt idx="13">
                  <c:v>_Q 20__</c:v>
                </c:pt>
                <c:pt idx="14">
                  <c:v>_Q 20__</c:v>
                </c:pt>
                <c:pt idx="15">
                  <c:v>_Q 20__</c:v>
                </c:pt>
                <c:pt idx="16">
                  <c:v>_Q 20__</c:v>
                </c:pt>
                <c:pt idx="17">
                  <c:v>_Q 20__</c:v>
                </c:pt>
                <c:pt idx="18">
                  <c:v>_Q 20__</c:v>
                </c:pt>
                <c:pt idx="19">
                  <c:v>_Q 20__</c:v>
                </c:pt>
                <c:pt idx="20">
                  <c:v>_Q 20__</c:v>
                </c:pt>
                <c:pt idx="21">
                  <c:v>_Q 20__</c:v>
                </c:pt>
                <c:pt idx="22">
                  <c:v>_Q 20__</c:v>
                </c:pt>
                <c:pt idx="23">
                  <c:v>_Q 20__</c:v>
                </c:pt>
              </c:strCache>
            </c:strRef>
          </c:cat>
          <c:val>
            <c:numRef>
              <c:f>'5A-Loss Trend'!$K$10:$K$33</c:f>
              <c:numCache>
                <c:formatCode>"$"#,##0.00_);\("$"#,##0.00\)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1"/>
          <c:extLst>
            <c:ext xmlns:c16="http://schemas.microsoft.com/office/drawing/2014/chart" uri="{C3380CC4-5D6E-409C-BE32-E72D297353CC}">
              <c16:uniqueId val="{00000000-CFE3-443F-B168-C994E151578E}"/>
            </c:ext>
          </c:extLst>
        </c:ser>
        <c:ser>
          <c:idx val="0"/>
          <c:order val="1"/>
          <c:tx>
            <c:strRef>
              <c:f>'5A-Loss Trend'!$M$8:$P$8</c:f>
              <c:strCache>
                <c:ptCount val="1"/>
                <c:pt idx="0">
                  <c:v>Four-Quarter-Ending</c:v>
                </c:pt>
              </c:strCache>
            </c:strRef>
          </c:tx>
          <c:spPr>
            <a:effectLst>
              <a:outerShdw blurRad="50800" dist="38100" dir="2700000" algn="tl" rotWithShape="0">
                <a:prstClr val="black">
                  <a:alpha val="40000"/>
                </a:prstClr>
              </a:outerShdw>
            </a:effectLst>
          </c:spPr>
          <c:marker>
            <c:symbol val="circle"/>
            <c:size val="4"/>
            <c:spPr>
              <a:effectLst>
                <a:outerShdw blurRad="50800" dist="38100" dir="2700000" algn="tl" rotWithShape="0">
                  <a:prstClr val="black">
                    <a:alpha val="40000"/>
                  </a:prstClr>
                </a:outerShdw>
              </a:effectLst>
            </c:spPr>
          </c:marker>
          <c:cat>
            <c:strRef>
              <c:f>'5A-Loss Trend'!$H$10:$H$33</c:f>
              <c:strCache>
                <c:ptCount val="24"/>
                <c:pt idx="0">
                  <c:v>_Q 20__</c:v>
                </c:pt>
                <c:pt idx="1">
                  <c:v>_Q 20__</c:v>
                </c:pt>
                <c:pt idx="2">
                  <c:v>_Q 20__</c:v>
                </c:pt>
                <c:pt idx="3">
                  <c:v>_Q 20__</c:v>
                </c:pt>
                <c:pt idx="4">
                  <c:v>_Q 20__</c:v>
                </c:pt>
                <c:pt idx="5">
                  <c:v>_Q 20__</c:v>
                </c:pt>
                <c:pt idx="6">
                  <c:v>_Q 20__</c:v>
                </c:pt>
                <c:pt idx="7">
                  <c:v>_Q 20__</c:v>
                </c:pt>
                <c:pt idx="8">
                  <c:v>_Q 20__</c:v>
                </c:pt>
                <c:pt idx="9">
                  <c:v>_Q 20__</c:v>
                </c:pt>
                <c:pt idx="10">
                  <c:v>_Q 20__</c:v>
                </c:pt>
                <c:pt idx="11">
                  <c:v>_Q 20__</c:v>
                </c:pt>
                <c:pt idx="12">
                  <c:v>_Q 20__</c:v>
                </c:pt>
                <c:pt idx="13">
                  <c:v>_Q 20__</c:v>
                </c:pt>
                <c:pt idx="14">
                  <c:v>_Q 20__</c:v>
                </c:pt>
                <c:pt idx="15">
                  <c:v>_Q 20__</c:v>
                </c:pt>
                <c:pt idx="16">
                  <c:v>_Q 20__</c:v>
                </c:pt>
                <c:pt idx="17">
                  <c:v>_Q 20__</c:v>
                </c:pt>
                <c:pt idx="18">
                  <c:v>_Q 20__</c:v>
                </c:pt>
                <c:pt idx="19">
                  <c:v>_Q 20__</c:v>
                </c:pt>
                <c:pt idx="20">
                  <c:v>_Q 20__</c:v>
                </c:pt>
                <c:pt idx="21">
                  <c:v>_Q 20__</c:v>
                </c:pt>
                <c:pt idx="22">
                  <c:v>_Q 20__</c:v>
                </c:pt>
                <c:pt idx="23">
                  <c:v>_Q 20__</c:v>
                </c:pt>
              </c:strCache>
            </c:strRef>
          </c:cat>
          <c:val>
            <c:numRef>
              <c:f>'5A-Loss Trend'!$P$10:$P$33</c:f>
              <c:numCache>
                <c:formatCode>"$"#,##0.00</c:formatCode>
                <c:ptCount val="24"/>
                <c:pt idx="3" formatCode="&quot;$&quot;#,##0.00_);\(&quot;$&quot;#,##0.00\)">
                  <c:v>0</c:v>
                </c:pt>
                <c:pt idx="4" formatCode="&quot;$&quot;#,##0.00_);\(&quot;$&quot;#,##0.00\)">
                  <c:v>0</c:v>
                </c:pt>
                <c:pt idx="5" formatCode="&quot;$&quot;#,##0.00_);\(&quot;$&quot;#,##0.00\)">
                  <c:v>0</c:v>
                </c:pt>
                <c:pt idx="6" formatCode="&quot;$&quot;#,##0.00_);\(&quot;$&quot;#,##0.00\)">
                  <c:v>0</c:v>
                </c:pt>
                <c:pt idx="7" formatCode="&quot;$&quot;#,##0.00_);\(&quot;$&quot;#,##0.00\)">
                  <c:v>0</c:v>
                </c:pt>
                <c:pt idx="8" formatCode="&quot;$&quot;#,##0.00_);\(&quot;$&quot;#,##0.00\)">
                  <c:v>0</c:v>
                </c:pt>
                <c:pt idx="9" formatCode="&quot;$&quot;#,##0.00_);\(&quot;$&quot;#,##0.00\)">
                  <c:v>0</c:v>
                </c:pt>
                <c:pt idx="10" formatCode="&quot;$&quot;#,##0.00_);\(&quot;$&quot;#,##0.00\)">
                  <c:v>0</c:v>
                </c:pt>
                <c:pt idx="11" formatCode="&quot;$&quot;#,##0.00_);\(&quot;$&quot;#,##0.00\)">
                  <c:v>0</c:v>
                </c:pt>
                <c:pt idx="12" formatCode="&quot;$&quot;#,##0.00_);\(&quot;$&quot;#,##0.00\)">
                  <c:v>0</c:v>
                </c:pt>
                <c:pt idx="13" formatCode="&quot;$&quot;#,##0.00_);\(&quot;$&quot;#,##0.00\)">
                  <c:v>0</c:v>
                </c:pt>
                <c:pt idx="14" formatCode="&quot;$&quot;#,##0.00_);\(&quot;$&quot;#,##0.00\)">
                  <c:v>0</c:v>
                </c:pt>
                <c:pt idx="15" formatCode="&quot;$&quot;#,##0.00_);\(&quot;$&quot;#,##0.00\)">
                  <c:v>0</c:v>
                </c:pt>
                <c:pt idx="16" formatCode="&quot;$&quot;#,##0.00_);\(&quot;$&quot;#,##0.00\)">
                  <c:v>0</c:v>
                </c:pt>
                <c:pt idx="17" formatCode="&quot;$&quot;#,##0.00_);\(&quot;$&quot;#,##0.00\)">
                  <c:v>0</c:v>
                </c:pt>
                <c:pt idx="18" formatCode="&quot;$&quot;#,##0.00_);\(&quot;$&quot;#,##0.00\)">
                  <c:v>0</c:v>
                </c:pt>
                <c:pt idx="19" formatCode="&quot;$&quot;#,##0.00_);\(&quot;$&quot;#,##0.00\)">
                  <c:v>0</c:v>
                </c:pt>
                <c:pt idx="20" formatCode="&quot;$&quot;#,##0.00_);\(&quot;$&quot;#,##0.00\)">
                  <c:v>0</c:v>
                </c:pt>
                <c:pt idx="21" formatCode="&quot;$&quot;#,##0.00_);\(&quot;$&quot;#,##0.00\)">
                  <c:v>0</c:v>
                </c:pt>
                <c:pt idx="22" formatCode="&quot;$&quot;#,##0.00_);\(&quot;$&quot;#,##0.00\)">
                  <c:v>0</c:v>
                </c:pt>
                <c:pt idx="23" formatCode="&quot;$&quot;#,##0.00_);\(&quot;$&quot;#,##0.00\)">
                  <c:v>0</c:v>
                </c:pt>
              </c:numCache>
            </c:numRef>
          </c:val>
          <c:smooth val="1"/>
          <c:extLst>
            <c:ext xmlns:c16="http://schemas.microsoft.com/office/drawing/2014/chart" uri="{C3380CC4-5D6E-409C-BE32-E72D297353CC}">
              <c16:uniqueId val="{00000001-CFE3-443F-B168-C994E151578E}"/>
            </c:ext>
          </c:extLst>
        </c:ser>
        <c:dLbls>
          <c:showLegendKey val="0"/>
          <c:showVal val="0"/>
          <c:showCatName val="0"/>
          <c:showSerName val="0"/>
          <c:showPercent val="0"/>
          <c:showBubbleSize val="0"/>
        </c:dLbls>
        <c:marker val="1"/>
        <c:smooth val="0"/>
        <c:axId val="212535168"/>
        <c:axId val="212561920"/>
      </c:lineChart>
      <c:catAx>
        <c:axId val="212535168"/>
        <c:scaling>
          <c:orientation val="minMax"/>
        </c:scaling>
        <c:delete val="0"/>
        <c:axPos val="b"/>
        <c:numFmt formatCode="General" sourceLinked="1"/>
        <c:majorTickMark val="out"/>
        <c:minorTickMark val="in"/>
        <c:tickLblPos val="nextTo"/>
        <c:txPr>
          <a:bodyPr rot="-2700000"/>
          <a:lstStyle/>
          <a:p>
            <a:pPr>
              <a:defRPr sz="600"/>
            </a:pPr>
            <a:endParaRPr lang="en-US"/>
          </a:p>
        </c:txPr>
        <c:crossAx val="212561920"/>
        <c:crosses val="autoZero"/>
        <c:auto val="0"/>
        <c:lblAlgn val="ctr"/>
        <c:lblOffset val="0"/>
        <c:tickLblSkip val="2"/>
        <c:tickMarkSkip val="2"/>
        <c:noMultiLvlLbl val="0"/>
      </c:catAx>
      <c:valAx>
        <c:axId val="212561920"/>
        <c:scaling>
          <c:orientation val="minMax"/>
        </c:scaling>
        <c:delete val="0"/>
        <c:axPos val="l"/>
        <c:majorGridlines/>
        <c:numFmt formatCode="&quot;$&quot;#,##0" sourceLinked="0"/>
        <c:majorTickMark val="out"/>
        <c:minorTickMark val="in"/>
        <c:tickLblPos val="nextTo"/>
        <c:txPr>
          <a:bodyPr/>
          <a:lstStyle/>
          <a:p>
            <a:pPr>
              <a:defRPr sz="900"/>
            </a:pPr>
            <a:endParaRPr lang="en-US"/>
          </a:p>
        </c:txPr>
        <c:crossAx val="212535168"/>
        <c:crosses val="autoZero"/>
        <c:crossBetween val="midCat"/>
      </c:valAx>
      <c:spPr>
        <a:ln>
          <a:solidFill>
            <a:sysClr val="windowText" lastClr="000000">
              <a:lumMod val="50000"/>
              <a:lumOff val="50000"/>
            </a:sysClr>
          </a:solidFill>
        </a:ln>
      </c:spPr>
    </c:plotArea>
    <c:legend>
      <c:legendPos val="r"/>
      <c:layout>
        <c:manualLayout>
          <c:xMode val="edge"/>
          <c:yMode val="edge"/>
          <c:x val="0.7991526684164475"/>
          <c:y val="0.31967556138817865"/>
          <c:w val="0.20084741187415417"/>
          <c:h val="0.2811400002664643"/>
        </c:manualLayout>
      </c:layout>
      <c:overlay val="0"/>
      <c:txPr>
        <a:bodyPr/>
        <a:lstStyle/>
        <a:p>
          <a:pPr>
            <a:defRPr sz="900"/>
          </a:pPr>
          <a:endParaRPr lang="en-US"/>
        </a:p>
      </c:txPr>
    </c:legend>
    <c:plotVisOnly val="1"/>
    <c:dispBlanksAs val="gap"/>
    <c:showDLblsOverMax val="0"/>
  </c:chart>
  <c:spPr>
    <a:solidFill>
      <a:srgbClr val="C0504D">
        <a:lumMod val="20000"/>
        <a:lumOff val="80000"/>
      </a:srgbClr>
    </a:solidFill>
    <a:effectLst>
      <a:outerShdw blurRad="50800" dist="38100" dir="2700000" algn="tl" rotWithShape="0">
        <a:prstClr val="black">
          <a:alpha val="40000"/>
        </a:prstClr>
      </a:outerShdw>
    </a:effectLst>
    <a:scene3d>
      <a:camera prst="orthographicFront"/>
      <a:lightRig rig="morning" dir="t"/>
    </a:scene3d>
    <a:sp3d prstMaterial="matte"/>
  </c:spPr>
  <c:printSettings>
    <c:headerFooter/>
    <c:pageMargins b="0.75000000000001465" l="0.70000000000000062" r="0.70000000000000062" t="0.75000000000001465"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Loss</a:t>
            </a:r>
            <a:r>
              <a:rPr lang="en-US" baseline="0"/>
              <a:t> Ratio</a:t>
            </a:r>
            <a:r>
              <a:rPr lang="en-US"/>
              <a:t> Trend</a:t>
            </a:r>
          </a:p>
        </c:rich>
      </c:tx>
      <c:overlay val="0"/>
    </c:title>
    <c:autoTitleDeleted val="0"/>
    <c:plotArea>
      <c:layout>
        <c:manualLayout>
          <c:layoutTarget val="inner"/>
          <c:xMode val="edge"/>
          <c:yMode val="edge"/>
          <c:x val="0.13178943291429812"/>
          <c:y val="0.14360435923770398"/>
          <c:w val="0.6779921053824316"/>
          <c:h val="0.64761477183773086"/>
        </c:manualLayout>
      </c:layout>
      <c:scatterChart>
        <c:scatterStyle val="smoothMarker"/>
        <c:varyColors val="0"/>
        <c:ser>
          <c:idx val="0"/>
          <c:order val="0"/>
          <c:tx>
            <c:strRef>
              <c:f>'5D-Loss Ratio Trend'!$E$8</c:f>
              <c:strCache>
                <c:ptCount val="1"/>
                <c:pt idx="0">
                  <c:v>Projected
Non-Cat
Loss &amp; DCCE Ratio</c:v>
                </c:pt>
              </c:strCache>
            </c:strRef>
          </c:tx>
          <c:spPr>
            <a:ln>
              <a:solidFill>
                <a:srgbClr val="4BACC6">
                  <a:lumMod val="75000"/>
                </a:srgbClr>
              </a:solidFill>
            </a:ln>
            <a:effectLst>
              <a:outerShdw blurRad="50800" dist="38100" dir="2700000" algn="tl" rotWithShape="0">
                <a:prstClr val="black">
                  <a:alpha val="40000"/>
                </a:prstClr>
              </a:outerShdw>
            </a:effectLst>
          </c:spPr>
          <c:marker>
            <c:symbol val="circle"/>
            <c:size val="4"/>
            <c:spPr>
              <a:solidFill>
                <a:srgbClr val="297083"/>
              </a:solidFill>
              <a:ln>
                <a:solidFill>
                  <a:srgbClr val="297083"/>
                </a:solidFill>
              </a:ln>
              <a:effectLst>
                <a:outerShdw blurRad="50800" dist="38100" dir="2700000" algn="tl" rotWithShape="0">
                  <a:prstClr val="black">
                    <a:alpha val="40000"/>
                  </a:prstClr>
                </a:outerShdw>
              </a:effectLst>
            </c:spPr>
          </c:marker>
          <c:dLbls>
            <c:numFmt formatCode="0%" sourceLinked="0"/>
            <c:spPr>
              <a:noFill/>
              <a:ln>
                <a:noFill/>
              </a:ln>
              <a:effectLst/>
            </c:spPr>
            <c:txPr>
              <a:bodyPr/>
              <a:lstStyle/>
              <a:p>
                <a:pPr>
                  <a:defRPr sz="800"/>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strRef>
              <c:f>'5D-Loss Ratio Trend'!$C$9:$C$13</c:f>
              <c:strCache>
                <c:ptCount val="5"/>
                <c:pt idx="0">
                  <c:v>__ /__ /20__</c:v>
                </c:pt>
                <c:pt idx="1">
                  <c:v>__ /__ /20__</c:v>
                </c:pt>
                <c:pt idx="2">
                  <c:v>__ /__ /20__</c:v>
                </c:pt>
                <c:pt idx="3">
                  <c:v>__ /__ /20__</c:v>
                </c:pt>
                <c:pt idx="4">
                  <c:v>__ /__ /20__</c:v>
                </c:pt>
              </c:strCache>
            </c:strRef>
          </c:xVal>
          <c:yVal>
            <c:numRef>
              <c:f>'5D-Loss Ratio Trend'!$E$9:$E$13</c:f>
              <c:numCache>
                <c:formatCode>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0-7E2A-4D1A-BBD8-D3F227083656}"/>
            </c:ext>
          </c:extLst>
        </c:ser>
        <c:ser>
          <c:idx val="1"/>
          <c:order val="1"/>
          <c:tx>
            <c:strRef>
              <c:f>'5D-Loss Ratio Trend'!$D$8</c:f>
              <c:strCache>
                <c:ptCount val="1"/>
                <c:pt idx="0">
                  <c:v>Untrended
Non-Cat
Loss &amp; DCCE Ratio</c:v>
                </c:pt>
              </c:strCache>
            </c:strRef>
          </c:tx>
          <c:spPr>
            <a:ln>
              <a:solidFill>
                <a:srgbClr val="9BBB59">
                  <a:lumMod val="75000"/>
                </a:srgbClr>
              </a:solidFill>
            </a:ln>
            <a:effectLst>
              <a:outerShdw blurRad="50800" dist="38100" dir="2700000" algn="tl" rotWithShape="0">
                <a:prstClr val="black">
                  <a:alpha val="40000"/>
                </a:prstClr>
              </a:outerShdw>
            </a:effectLst>
          </c:spPr>
          <c:marker>
            <c:symbol val="diamond"/>
            <c:size val="6"/>
            <c:spPr>
              <a:solidFill>
                <a:srgbClr val="9BBB59">
                  <a:lumMod val="50000"/>
                </a:srgbClr>
              </a:solidFill>
              <a:ln>
                <a:solidFill>
                  <a:srgbClr val="9BBB59">
                    <a:lumMod val="50000"/>
                  </a:srgbClr>
                </a:solidFill>
              </a:ln>
              <a:effectLst>
                <a:outerShdw blurRad="50800" dist="38100" dir="2700000" algn="tl" rotWithShape="0">
                  <a:prstClr val="black">
                    <a:alpha val="40000"/>
                  </a:prstClr>
                </a:outerShdw>
              </a:effectLst>
            </c:spPr>
          </c:marker>
          <c:dLbls>
            <c:numFmt formatCode="0%" sourceLinked="0"/>
            <c:spPr>
              <a:noFill/>
              <a:ln>
                <a:noFill/>
              </a:ln>
              <a:effectLst/>
            </c:spPr>
            <c:txPr>
              <a:bodyPr/>
              <a:lstStyle/>
              <a:p>
                <a:pPr>
                  <a:defRPr sz="800"/>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strRef>
              <c:f>'5D-Loss Ratio Trend'!$C$9:$C$13</c:f>
              <c:strCache>
                <c:ptCount val="5"/>
                <c:pt idx="0">
                  <c:v>__ /__ /20__</c:v>
                </c:pt>
                <c:pt idx="1">
                  <c:v>__ /__ /20__</c:v>
                </c:pt>
                <c:pt idx="2">
                  <c:v>__ /__ /20__</c:v>
                </c:pt>
                <c:pt idx="3">
                  <c:v>__ /__ /20__</c:v>
                </c:pt>
                <c:pt idx="4">
                  <c:v>__ /__ /20__</c:v>
                </c:pt>
              </c:strCache>
            </c:strRef>
          </c:xVal>
          <c:yVal>
            <c:numRef>
              <c:f>'5D-Loss Ratio Trend'!$D$9:$D$13</c:f>
              <c:numCache>
                <c:formatCode>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1-7E2A-4D1A-BBD8-D3F227083656}"/>
            </c:ext>
          </c:extLst>
        </c:ser>
        <c:ser>
          <c:idx val="2"/>
          <c:order val="2"/>
          <c:tx>
            <c:strRef>
              <c:f>'5D-Loss Ratio Trend'!$E$67</c:f>
              <c:strCache>
                <c:ptCount val="1"/>
                <c:pt idx="0">
                  <c:v>Pure Premium/
Avg Earned Premium</c:v>
                </c:pt>
              </c:strCache>
            </c:strRef>
          </c:tx>
          <c:marker>
            <c:symbol val="triangle"/>
            <c:size val="5"/>
            <c:spPr>
              <a:solidFill>
                <a:srgbClr val="C0504D">
                  <a:lumMod val="75000"/>
                </a:srgbClr>
              </a:solidFill>
              <a:ln>
                <a:solidFill>
                  <a:srgbClr val="C0504D">
                    <a:lumMod val="50000"/>
                  </a:srgbClr>
                </a:solidFill>
              </a:ln>
              <a:effectLst>
                <a:outerShdw blurRad="50800" dist="38100" dir="2700000" algn="tl" rotWithShape="0">
                  <a:prstClr val="black">
                    <a:alpha val="40000"/>
                  </a:prstClr>
                </a:outerShdw>
              </a:effectLst>
            </c:spPr>
          </c:marker>
          <c:xVal>
            <c:numRef>
              <c:f>'5D-Loss Ratio Trend'!$B$68:$B$88</c:f>
            </c:numRef>
          </c:xVal>
          <c:yVal>
            <c:numRef>
              <c:f>'5D-Loss Ratio Trend'!$E$68:$E$88</c:f>
            </c:numRef>
          </c:yVal>
          <c:smooth val="1"/>
          <c:extLst>
            <c:ext xmlns:c16="http://schemas.microsoft.com/office/drawing/2014/chart" uri="{C3380CC4-5D6E-409C-BE32-E72D297353CC}">
              <c16:uniqueId val="{00000002-7E2A-4D1A-BBD8-D3F227083656}"/>
            </c:ext>
          </c:extLst>
        </c:ser>
        <c:ser>
          <c:idx val="3"/>
          <c:order val="3"/>
          <c:tx>
            <c:strRef>
              <c:f>'1-Indication'!$G$19</c:f>
              <c:strCache>
                <c:ptCount val="1"/>
                <c:pt idx="0">
                  <c:v>Weighted Projected Non-Cat Loss &amp; DCCE Ratio</c:v>
                </c:pt>
              </c:strCache>
            </c:strRef>
          </c:tx>
          <c:spPr>
            <a:ln>
              <a:noFill/>
            </a:ln>
            <a:effectLst>
              <a:outerShdw blurRad="50800" dist="38100" dir="2700000" algn="tl" rotWithShape="0">
                <a:prstClr val="black">
                  <a:alpha val="40000"/>
                </a:prstClr>
              </a:outerShdw>
            </a:effectLst>
          </c:spPr>
          <c:marker>
            <c:symbol val="star"/>
            <c:size val="7"/>
            <c:spPr>
              <a:noFill/>
              <a:ln w="11430">
                <a:solidFill>
                  <a:srgbClr val="8064A2">
                    <a:lumMod val="50000"/>
                  </a:srgbClr>
                </a:solidFill>
              </a:ln>
              <a:effectLst>
                <a:outerShdw blurRad="50800" dist="38100" dir="2700000" algn="tl" rotWithShape="0">
                  <a:prstClr val="black">
                    <a:alpha val="40000"/>
                  </a:prstClr>
                </a:outerShdw>
              </a:effectLst>
            </c:spPr>
          </c:marker>
          <c:dLbls>
            <c:numFmt formatCode="0%" sourceLinked="0"/>
            <c:spPr>
              <a:effectLst>
                <a:outerShdw blurRad="50800" dist="38100" dir="2700000" algn="tl" rotWithShape="0">
                  <a:prstClr val="black">
                    <a:alpha val="40000"/>
                  </a:prstClr>
                </a:outerShdw>
              </a:effectLst>
            </c:spPr>
            <c:txPr>
              <a:bodyPr/>
              <a:lstStyle/>
              <a:p>
                <a:pPr>
                  <a:defRPr sz="800"/>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'5D-Loss Ratio Trend'!$C$90</c:f>
            </c:numRef>
          </c:xVal>
          <c:yVal>
            <c:numRef>
              <c:f>'1-Indication'!$K$19</c:f>
              <c:numCache>
                <c:formatCode>0.0%</c:formatCode>
                <c:ptCount val="1"/>
                <c:pt idx="0">
                  <c:v>0</c:v>
                </c:pt>
              </c:numCache>
            </c:numRef>
          </c:yVal>
          <c:smooth val="1"/>
          <c:extLst>
            <c:ext xmlns:c16="http://schemas.microsoft.com/office/drawing/2014/chart" uri="{C3380CC4-5D6E-409C-BE32-E72D297353CC}">
              <c16:uniqueId val="{00000003-7E2A-4D1A-BBD8-D3F227083656}"/>
            </c:ext>
          </c:extLst>
        </c:ser>
        <c:dLbls>
          <c:showLegendKey val="0"/>
          <c:showVal val="0"/>
          <c:showCatName val="0"/>
          <c:showSerName val="0"/>
          <c:showPercent val="0"/>
          <c:showBubbleSize val="0"/>
        </c:dLbls>
        <c:axId val="212544896"/>
        <c:axId val="212665856"/>
      </c:scatterChart>
      <c:valAx>
        <c:axId val="212544896"/>
        <c:scaling>
          <c:orientation val="minMax"/>
        </c:scaling>
        <c:delete val="0"/>
        <c:axPos val="b"/>
        <c:title>
          <c:tx>
            <c:rich>
              <a:bodyPr/>
              <a:lstStyle/>
              <a:p>
                <a:pPr>
                  <a:defRPr/>
                </a:pPr>
                <a:r>
                  <a:rPr lang="en-US"/>
                  <a:t>Year Ending</a:t>
                </a:r>
              </a:p>
            </c:rich>
          </c:tx>
          <c:layout>
            <c:manualLayout>
              <c:xMode val="edge"/>
              <c:yMode val="edge"/>
              <c:x val="0.38013490071983908"/>
              <c:y val="0.92999828825744624"/>
            </c:manualLayout>
          </c:layout>
          <c:overlay val="0"/>
        </c:title>
        <c:numFmt formatCode="mm/yyyy" sourceLinked="0"/>
        <c:majorTickMark val="out"/>
        <c:minorTickMark val="in"/>
        <c:tickLblPos val="low"/>
        <c:txPr>
          <a:bodyPr rot="-2700000" vert="horz"/>
          <a:lstStyle/>
          <a:p>
            <a:pPr>
              <a:defRPr sz="900"/>
            </a:pPr>
            <a:endParaRPr lang="en-US"/>
          </a:p>
        </c:txPr>
        <c:crossAx val="212665856"/>
        <c:crosses val="autoZero"/>
        <c:crossBetween val="midCat"/>
        <c:majorUnit val="365.25"/>
        <c:minorUnit val="182.5"/>
      </c:valAx>
      <c:valAx>
        <c:axId val="212665856"/>
        <c:scaling>
          <c:orientation val="minMax"/>
          <c:min val="0"/>
        </c:scaling>
        <c:delete val="0"/>
        <c:axPos val="l"/>
        <c:majorGridlines/>
        <c:title>
          <c:tx>
            <c:rich>
              <a:bodyPr rot="-5400000" vert="horz"/>
              <a:lstStyle/>
              <a:p>
                <a:pPr>
                  <a:defRPr/>
                </a:pPr>
                <a:r>
                  <a:rPr lang="en-US"/>
                  <a:t>Non-Cat Loss Ratio</a:t>
                </a:r>
              </a:p>
            </c:rich>
          </c:tx>
          <c:layout>
            <c:manualLayout>
              <c:xMode val="edge"/>
              <c:yMode val="edge"/>
              <c:x val="1.3669064748201443E-2"/>
              <c:y val="0.36353749366855481"/>
            </c:manualLayout>
          </c:layout>
          <c:overlay val="0"/>
        </c:title>
        <c:numFmt formatCode="0%" sourceLinked="0"/>
        <c:majorTickMark val="out"/>
        <c:minorTickMark val="in"/>
        <c:tickLblPos val="low"/>
        <c:txPr>
          <a:bodyPr/>
          <a:lstStyle/>
          <a:p>
            <a:pPr>
              <a:defRPr sz="900"/>
            </a:pPr>
            <a:endParaRPr lang="en-US"/>
          </a:p>
        </c:txPr>
        <c:crossAx val="212544896"/>
        <c:crosses val="autoZero"/>
        <c:crossBetween val="midCat"/>
        <c:minorUnit val="0.05"/>
      </c:valAx>
      <c:spPr>
        <a:ln>
          <a:solidFill>
            <a:sysClr val="windowText" lastClr="000000">
              <a:lumMod val="50000"/>
              <a:lumOff val="50000"/>
            </a:sysClr>
          </a:solidFill>
        </a:ln>
      </c:spPr>
    </c:plotArea>
    <c:legend>
      <c:legendPos val="r"/>
      <c:layout>
        <c:manualLayout>
          <c:xMode val="edge"/>
          <c:yMode val="edge"/>
          <c:x val="0.80771249747627705"/>
          <c:y val="0.16486572959371815"/>
          <c:w val="0.18967107133586322"/>
          <c:h val="0.62572368278346646"/>
        </c:manualLayout>
      </c:layout>
      <c:overlay val="1"/>
      <c:txPr>
        <a:bodyPr/>
        <a:lstStyle/>
        <a:p>
          <a:pPr>
            <a:defRPr sz="800"/>
          </a:pPr>
          <a:endParaRPr lang="en-US"/>
        </a:p>
      </c:txPr>
    </c:legend>
    <c:plotVisOnly val="1"/>
    <c:dispBlanksAs val="gap"/>
    <c:showDLblsOverMax val="0"/>
  </c:chart>
  <c:spPr>
    <a:solidFill>
      <a:srgbClr val="C0504D">
        <a:lumMod val="20000"/>
        <a:lumOff val="80000"/>
      </a:srgbClr>
    </a:solidFill>
    <a:effectLst>
      <a:outerShdw blurRad="50800" dist="38100" dir="2700000" algn="tl" rotWithShape="0">
        <a:prstClr val="black">
          <a:alpha val="40000"/>
        </a:prstClr>
      </a:outerShdw>
    </a:effectLst>
    <a:scene3d>
      <a:camera prst="orthographicFront"/>
      <a:lightRig rig="morning" dir="t"/>
    </a:scene3d>
    <a:sp3d prstMaterial="matte"/>
  </c:spPr>
  <c:printSettings>
    <c:headerFooter/>
    <c:pageMargins b="0.75000000000001465" l="0.70000000000000062" r="0.70000000000000062" t="0.75000000000001465"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mn-lt"/>
              </a:defRPr>
            </a:pPr>
            <a:r>
              <a:rPr lang="en-US">
                <a:latin typeface="+mn-lt"/>
              </a:rPr>
              <a:t>Policyholder Impact Distribution </a:t>
            </a:r>
          </a:p>
        </c:rich>
      </c:tx>
      <c:overlay val="0"/>
    </c:title>
    <c:autoTitleDeleted val="0"/>
    <c:plotArea>
      <c:layout/>
      <c:barChart>
        <c:barDir val="col"/>
        <c:grouping val="clustered"/>
        <c:varyColors val="0"/>
        <c:ser>
          <c:idx val="2"/>
          <c:order val="0"/>
          <c:spPr>
            <a:solidFill>
              <a:schemeClr val="accent2">
                <a:lumMod val="40000"/>
                <a:lumOff val="60000"/>
              </a:schemeClr>
            </a:solidFill>
            <a:effectLst>
              <a:outerShdw blurRad="50800" dist="38100" dir="2700000" algn="tl" rotWithShape="0">
                <a:prstClr val="black">
                  <a:alpha val="40000"/>
                </a:prstClr>
              </a:outerShdw>
            </a:effectLst>
            <a:scene3d>
              <a:camera prst="orthographicFront"/>
              <a:lightRig rig="threePt" dir="t"/>
            </a:scene3d>
            <a:sp3d>
              <a:bevelT w="38100" h="38100"/>
            </a:sp3d>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'16-Policyholder Impact'!$C$98:$C$110</c:f>
              <c:numCache>
                <c:formatCode>0.0%</c:formatCode>
                <c:ptCount val="13"/>
              </c:numCache>
            </c:numRef>
          </c:cat>
          <c:val>
            <c:numRef>
              <c:f>'16-Policyholder Impact'!$D$14:$D$26</c:f>
              <c:numCache>
                <c:formatCode>#,##0</c:formatCode>
                <c:ptCount val="13"/>
              </c:numCache>
            </c:numRef>
          </c:val>
          <c:extLst>
            <c:ext xmlns:c16="http://schemas.microsoft.com/office/drawing/2014/chart" uri="{C3380CC4-5D6E-409C-BE32-E72D297353CC}">
              <c16:uniqueId val="{00000000-0E84-476B-A625-604B1383AFD6}"/>
            </c:ext>
          </c:extLst>
        </c:ser>
        <c:dLbls>
          <c:showLegendKey val="0"/>
          <c:showVal val="0"/>
          <c:showCatName val="0"/>
          <c:showSerName val="0"/>
          <c:showPercent val="0"/>
          <c:showBubbleSize val="0"/>
        </c:dLbls>
        <c:gapWidth val="150"/>
        <c:axId val="217678976"/>
        <c:axId val="217680512"/>
      </c:barChart>
      <c:catAx>
        <c:axId val="217678976"/>
        <c:scaling>
          <c:orientation val="minMax"/>
        </c:scaling>
        <c:delete val="0"/>
        <c:axPos val="b"/>
        <c:numFmt formatCode="0.0%" sourceLinked="0"/>
        <c:majorTickMark val="out"/>
        <c:minorTickMark val="none"/>
        <c:tickLblPos val="nextTo"/>
        <c:txPr>
          <a:bodyPr rot="-2700000" vert="horz" anchor="b" anchorCtr="1"/>
          <a:lstStyle/>
          <a:p>
            <a:pPr>
              <a:defRPr sz="900">
                <a:latin typeface="+mn-lt"/>
              </a:defRPr>
            </a:pPr>
            <a:endParaRPr lang="en-US"/>
          </a:p>
        </c:txPr>
        <c:crossAx val="217680512"/>
        <c:crosses val="autoZero"/>
        <c:auto val="0"/>
        <c:lblAlgn val="ctr"/>
        <c:lblOffset val="0"/>
        <c:noMultiLvlLbl val="0"/>
      </c:catAx>
      <c:valAx>
        <c:axId val="217680512"/>
        <c:scaling>
          <c:orientation val="minMax"/>
          <c:min val="0"/>
        </c:scaling>
        <c:delete val="0"/>
        <c:axPos val="l"/>
        <c:majorGridlines/>
        <c:numFmt formatCode="#,##0" sourceLinked="0"/>
        <c:majorTickMark val="out"/>
        <c:minorTickMark val="none"/>
        <c:tickLblPos val="nextTo"/>
        <c:txPr>
          <a:bodyPr/>
          <a:lstStyle/>
          <a:p>
            <a:pPr>
              <a:defRPr sz="900">
                <a:latin typeface="+mn-lt"/>
              </a:defRPr>
            </a:pPr>
            <a:endParaRPr lang="en-US"/>
          </a:p>
        </c:txPr>
        <c:crossAx val="217678976"/>
        <c:crosses val="autoZero"/>
        <c:crossBetween val="between"/>
      </c:valAx>
      <c:spPr>
        <a:ln>
          <a:solidFill>
            <a:schemeClr val="bg1">
              <a:lumMod val="50000"/>
            </a:schemeClr>
          </a:solidFill>
        </a:ln>
        <a:effectLst/>
        <a:scene3d>
          <a:camera prst="orthographicFront"/>
          <a:lightRig rig="threePt" dir="t"/>
        </a:scene3d>
        <a:sp3d/>
      </c:spPr>
    </c:plotArea>
    <c:plotVisOnly val="1"/>
    <c:dispBlanksAs val="gap"/>
    <c:showDLblsOverMax val="0"/>
  </c:chart>
  <c:spPr>
    <a:solidFill>
      <a:schemeClr val="accent2">
        <a:lumMod val="20000"/>
        <a:lumOff val="80000"/>
      </a:schemeClr>
    </a:solidFill>
    <a:ln>
      <a:solidFill>
        <a:srgbClr val="1F497D">
          <a:lumMod val="75000"/>
        </a:srgbClr>
      </a:solidFill>
    </a:ln>
    <a:effectLst>
      <a:outerShdw blurRad="50800" dist="38100" dir="2700000" algn="tl" rotWithShape="0">
        <a:prstClr val="black">
          <a:alpha val="40000"/>
        </a:prstClr>
      </a:outerShdw>
    </a:effectLst>
  </c:spPr>
  <c:printSettings>
    <c:headerFooter/>
    <c:pageMargins b="0.75000000000001465" l="0.70000000000000062" r="0.70000000000000062" t="0.75000000000001465" header="0.30000000000000032" footer="0.30000000000000032"/>
    <c:pageSetup orientation="portrait"/>
  </c:printSettings>
</c:chartSpace>
</file>

<file path=xl/ctrlProps/ctrlProp1.xml><?xml version="1.0" encoding="utf-8"?>
<formControlPr xmlns="http://schemas.microsoft.com/office/spreadsheetml/2009/9/main" objectType="CheckBox" fmlaLink="#REF!" lockText="1"/>
</file>

<file path=xl/drawings/_rels/drawing1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X3A0T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00000000-0008-0000-0C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00000000-0008-0000-0C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9">
          <a:extLst>
            <a:ext uri="{FF2B5EF4-FFF2-40B4-BE49-F238E27FC236}">
              <a16:creationId xmlns:a16="http://schemas.microsoft.com/office/drawing/2014/main" id="{00000000-0008-0000-0C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10">
          <a:extLst>
            <a:ext uri="{FF2B5EF4-FFF2-40B4-BE49-F238E27FC236}">
              <a16:creationId xmlns:a16="http://schemas.microsoft.com/office/drawing/2014/main" id="{00000000-0008-0000-0C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2" name="TextBox 11">
          <a:extLst>
            <a:ext uri="{FF2B5EF4-FFF2-40B4-BE49-F238E27FC236}">
              <a16:creationId xmlns:a16="http://schemas.microsoft.com/office/drawing/2014/main" id="{00000000-0008-0000-0C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42</xdr:row>
      <xdr:rowOff>73660</xdr:rowOff>
    </xdr:from>
    <xdr:to>
      <xdr:col>8</xdr:col>
      <xdr:colOff>330200</xdr:colOff>
      <xdr:row>55</xdr:row>
      <xdr:rowOff>215900</xdr:rowOff>
    </xdr:to>
    <xdr:graphicFrame macro="">
      <xdr:nvGraphicFramePr>
        <xdr:cNvPr id="4" name="Chart 3">
          <a:extLst>
            <a:ext uri="{FF2B5EF4-FFF2-40B4-BE49-F238E27FC236}">
              <a16:creationId xmlns:a16="http://schemas.microsoft.com/office/drawing/2014/main" id="{00000000-0008-0000-0D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3175</xdr:rowOff>
    </xdr:from>
    <xdr:to>
      <xdr:col>1</xdr:col>
      <xdr:colOff>66675</xdr:colOff>
      <xdr:row>0</xdr:row>
      <xdr:rowOff>105767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3" name="TextBox 2">
          <a:extLst>
            <a:ext uri="{FF2B5EF4-FFF2-40B4-BE49-F238E27FC236}">
              <a16:creationId xmlns:a16="http://schemas.microsoft.com/office/drawing/2014/main" id="{00000000-0008-0000-0D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5" name="TextBox 4">
          <a:extLst>
            <a:ext uri="{FF2B5EF4-FFF2-40B4-BE49-F238E27FC236}">
              <a16:creationId xmlns:a16="http://schemas.microsoft.com/office/drawing/2014/main" id="{00000000-0008-0000-0D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8" name="TextBox 7">
          <a:extLst>
            <a:ext uri="{FF2B5EF4-FFF2-40B4-BE49-F238E27FC236}">
              <a16:creationId xmlns:a16="http://schemas.microsoft.com/office/drawing/2014/main" id="{00000000-0008-0000-0D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9" name="TextBox 8">
          <a:extLst>
            <a:ext uri="{FF2B5EF4-FFF2-40B4-BE49-F238E27FC236}">
              <a16:creationId xmlns:a16="http://schemas.microsoft.com/office/drawing/2014/main" id="{00000000-0008-0000-0D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2" name="TextBox 11">
          <a:extLst>
            <a:ext uri="{FF2B5EF4-FFF2-40B4-BE49-F238E27FC236}">
              <a16:creationId xmlns:a16="http://schemas.microsoft.com/office/drawing/2014/main" id="{00000000-0008-0000-0D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3" name="TextBox 12">
          <a:extLst>
            <a:ext uri="{FF2B5EF4-FFF2-40B4-BE49-F238E27FC236}">
              <a16:creationId xmlns:a16="http://schemas.microsoft.com/office/drawing/2014/main" id="{00000000-0008-0000-0D00-00000D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4" name="TextBox 13">
          <a:extLst>
            <a:ext uri="{FF2B5EF4-FFF2-40B4-BE49-F238E27FC236}">
              <a16:creationId xmlns:a16="http://schemas.microsoft.com/office/drawing/2014/main" id="{00000000-0008-0000-0D00-00000E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0</xdr:col>
      <xdr:colOff>0</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00000000-0008-0000-0E00-000003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00000000-0008-0000-0E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0000000-0008-0000-0E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00000000-0008-0000-0E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00000000-0008-0000-0E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00000000-0008-0000-0E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9">
          <a:extLst>
            <a:ext uri="{FF2B5EF4-FFF2-40B4-BE49-F238E27FC236}">
              <a16:creationId xmlns:a16="http://schemas.microsoft.com/office/drawing/2014/main" id="{00000000-0008-0000-0E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10">
          <a:extLst>
            <a:ext uri="{FF2B5EF4-FFF2-40B4-BE49-F238E27FC236}">
              <a16:creationId xmlns:a16="http://schemas.microsoft.com/office/drawing/2014/main" id="{00000000-0008-0000-0E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2" name="TextBox 11">
          <a:extLst>
            <a:ext uri="{FF2B5EF4-FFF2-40B4-BE49-F238E27FC236}">
              <a16:creationId xmlns:a16="http://schemas.microsoft.com/office/drawing/2014/main" id="{00000000-0008-0000-0E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3" name="TextBox 12">
          <a:extLst>
            <a:ext uri="{FF2B5EF4-FFF2-40B4-BE49-F238E27FC236}">
              <a16:creationId xmlns:a16="http://schemas.microsoft.com/office/drawing/2014/main" id="{00000000-0008-0000-0E00-00000D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4" name="TextBox 13">
          <a:extLst>
            <a:ext uri="{FF2B5EF4-FFF2-40B4-BE49-F238E27FC236}">
              <a16:creationId xmlns:a16="http://schemas.microsoft.com/office/drawing/2014/main" id="{00000000-0008-0000-0E00-00000E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3174</xdr:rowOff>
    </xdr:from>
    <xdr:to>
      <xdr:col>3</xdr:col>
      <xdr:colOff>387927</xdr:colOff>
      <xdr:row>0</xdr:row>
      <xdr:rowOff>105766</xdr:rowOff>
    </xdr:to>
    <xdr:sp macro="" textlink="">
      <xdr:nvSpPr>
        <xdr:cNvPr id="17" name="TextBox 2">
          <a:extLst>
            <a:ext uri="{FF2B5EF4-FFF2-40B4-BE49-F238E27FC236}">
              <a16:creationId xmlns:a16="http://schemas.microsoft.com/office/drawing/2014/main" id="{00000000-0008-0000-0F00-000011000000}"/>
            </a:ext>
          </a:extLst>
        </xdr:cNvPr>
        <xdr:cNvSpPr txBox="1"/>
      </xdr:nvSpPr>
      <xdr:spPr>
        <a:xfrm>
          <a:off x="0" y="3174"/>
          <a:ext cx="198050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X15A0T</a:t>
          </a:r>
        </a:p>
      </xdr:txBody>
    </xdr:sp>
    <xdr:clientData/>
  </xdr:twoCellAnchor>
  <xdr:twoCellAnchor>
    <xdr:from>
      <xdr:col>0</xdr:col>
      <xdr:colOff>0</xdr:colOff>
      <xdr:row>0</xdr:row>
      <xdr:rowOff>3174</xdr:rowOff>
    </xdr:from>
    <xdr:to>
      <xdr:col>3</xdr:col>
      <xdr:colOff>387927</xdr:colOff>
      <xdr:row>0</xdr:row>
      <xdr:rowOff>105766</xdr:rowOff>
    </xdr:to>
    <xdr:sp macro="" textlink="">
      <xdr:nvSpPr>
        <xdr:cNvPr id="3" name="TextBox 2">
          <a:extLst>
            <a:ext uri="{FF2B5EF4-FFF2-40B4-BE49-F238E27FC236}">
              <a16:creationId xmlns:a16="http://schemas.microsoft.com/office/drawing/2014/main" id="{00000000-0008-0000-0F00-000003000000}"/>
            </a:ext>
          </a:extLst>
        </xdr:cNvPr>
        <xdr:cNvSpPr txBox="1"/>
      </xdr:nvSpPr>
      <xdr:spPr>
        <a:xfrm>
          <a:off x="0" y="3174"/>
          <a:ext cx="198050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2</xdr:col>
      <xdr:colOff>0</xdr:colOff>
      <xdr:row>0</xdr:row>
      <xdr:rowOff>3175</xdr:rowOff>
    </xdr:from>
    <xdr:to>
      <xdr:col>2</xdr:col>
      <xdr:colOff>66675</xdr:colOff>
      <xdr:row>0</xdr:row>
      <xdr:rowOff>105767</xdr:rowOff>
    </xdr:to>
    <xdr:sp macro="" textlink="">
      <xdr:nvSpPr>
        <xdr:cNvPr id="5" name="TextBox 4">
          <a:extLst>
            <a:ext uri="{FF2B5EF4-FFF2-40B4-BE49-F238E27FC236}">
              <a16:creationId xmlns:a16="http://schemas.microsoft.com/office/drawing/2014/main" id="{00000000-0008-0000-0F00-000005000000}"/>
            </a:ext>
          </a:extLst>
        </xdr:cNvPr>
        <xdr:cNvSpPr txBox="1"/>
      </xdr:nvSpPr>
      <xdr:spPr>
        <a:xfrm>
          <a:off x="36576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7" name="TextBox 6">
          <a:extLst>
            <a:ext uri="{FF2B5EF4-FFF2-40B4-BE49-F238E27FC236}">
              <a16:creationId xmlns:a16="http://schemas.microsoft.com/office/drawing/2014/main" id="{00000000-0008-0000-0F00-000007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8" name="TextBox 7">
          <a:extLst>
            <a:ext uri="{FF2B5EF4-FFF2-40B4-BE49-F238E27FC236}">
              <a16:creationId xmlns:a16="http://schemas.microsoft.com/office/drawing/2014/main" id="{00000000-0008-0000-0F00-000008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9" name="TextBox 8">
          <a:extLst>
            <a:ext uri="{FF2B5EF4-FFF2-40B4-BE49-F238E27FC236}">
              <a16:creationId xmlns:a16="http://schemas.microsoft.com/office/drawing/2014/main" id="{00000000-0008-0000-0F00-000009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10" name="TextBox 9">
          <a:extLst>
            <a:ext uri="{FF2B5EF4-FFF2-40B4-BE49-F238E27FC236}">
              <a16:creationId xmlns:a16="http://schemas.microsoft.com/office/drawing/2014/main" id="{00000000-0008-0000-0F00-00000A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11" name="TextBox 10">
          <a:extLst>
            <a:ext uri="{FF2B5EF4-FFF2-40B4-BE49-F238E27FC236}">
              <a16:creationId xmlns:a16="http://schemas.microsoft.com/office/drawing/2014/main" id="{00000000-0008-0000-0F00-00000B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12" name="TextBox 11">
          <a:extLst>
            <a:ext uri="{FF2B5EF4-FFF2-40B4-BE49-F238E27FC236}">
              <a16:creationId xmlns:a16="http://schemas.microsoft.com/office/drawing/2014/main" id="{00000000-0008-0000-0F00-00000C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13" name="TextBox 12">
          <a:extLst>
            <a:ext uri="{FF2B5EF4-FFF2-40B4-BE49-F238E27FC236}">
              <a16:creationId xmlns:a16="http://schemas.microsoft.com/office/drawing/2014/main" id="{00000000-0008-0000-0F00-00000D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14" name="TextBox 13">
          <a:extLst>
            <a:ext uri="{FF2B5EF4-FFF2-40B4-BE49-F238E27FC236}">
              <a16:creationId xmlns:a16="http://schemas.microsoft.com/office/drawing/2014/main" id="{00000000-0008-0000-0F00-00000E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15" name="TextBox 14">
          <a:extLst>
            <a:ext uri="{FF2B5EF4-FFF2-40B4-BE49-F238E27FC236}">
              <a16:creationId xmlns:a16="http://schemas.microsoft.com/office/drawing/2014/main" id="{00000000-0008-0000-0F00-00000F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2</xdr:col>
      <xdr:colOff>3175</xdr:colOff>
      <xdr:row>0</xdr:row>
      <xdr:rowOff>3175</xdr:rowOff>
    </xdr:from>
    <xdr:to>
      <xdr:col>2</xdr:col>
      <xdr:colOff>66675</xdr:colOff>
      <xdr:row>0</xdr:row>
      <xdr:rowOff>105767</xdr:rowOff>
    </xdr:to>
    <xdr:sp macro="" textlink="">
      <xdr:nvSpPr>
        <xdr:cNvPr id="16" name="TextBox 15">
          <a:extLst>
            <a:ext uri="{FF2B5EF4-FFF2-40B4-BE49-F238E27FC236}">
              <a16:creationId xmlns:a16="http://schemas.microsoft.com/office/drawing/2014/main" id="{00000000-0008-0000-0F00-000010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3" name="TextBox 1">
          <a:extLst>
            <a:ext uri="{FF2B5EF4-FFF2-40B4-BE49-F238E27FC236}">
              <a16:creationId xmlns:a16="http://schemas.microsoft.com/office/drawing/2014/main" id="{00000000-0008-0000-10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X16A0T</a:t>
          </a:r>
        </a:p>
      </xdr:txBody>
    </xdr:sp>
    <xdr:clientData/>
  </xdr:twoCellAnchor>
  <xdr:twoCellAnchor>
    <xdr:from>
      <xdr:col>0</xdr:col>
      <xdr:colOff>0</xdr:colOff>
      <xdr:row>0</xdr:row>
      <xdr:rowOff>3174</xdr:rowOff>
    </xdr:from>
    <xdr:to>
      <xdr:col>1</xdr:col>
      <xdr:colOff>387927</xdr:colOff>
      <xdr:row>0</xdr:row>
      <xdr:rowOff>105766</xdr:rowOff>
    </xdr:to>
    <xdr:sp macro="" textlink="">
      <xdr:nvSpPr>
        <xdr:cNvPr id="4" name="TextBox 2">
          <a:extLst>
            <a:ext uri="{FF2B5EF4-FFF2-40B4-BE49-F238E27FC236}">
              <a16:creationId xmlns:a16="http://schemas.microsoft.com/office/drawing/2014/main" id="{00000000-0008-0000-1000-000004000000}"/>
            </a:ext>
          </a:extLst>
        </xdr:cNvPr>
        <xdr:cNvSpPr txBox="1"/>
      </xdr:nvSpPr>
      <xdr:spPr>
        <a:xfrm>
          <a:off x="0" y="3174"/>
          <a:ext cx="137852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3">
          <a:extLst>
            <a:ext uri="{FF2B5EF4-FFF2-40B4-BE49-F238E27FC236}">
              <a16:creationId xmlns:a16="http://schemas.microsoft.com/office/drawing/2014/main" id="{00000000-0008-0000-10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0</xdr:col>
      <xdr:colOff>0</xdr:colOff>
      <xdr:row>0</xdr:row>
      <xdr:rowOff>3175</xdr:rowOff>
    </xdr:from>
    <xdr:to>
      <xdr:col>0</xdr:col>
      <xdr:colOff>66675</xdr:colOff>
      <xdr:row>0</xdr:row>
      <xdr:rowOff>105767</xdr:rowOff>
    </xdr:to>
    <xdr:sp macro="" textlink="">
      <xdr:nvSpPr>
        <xdr:cNvPr id="6" name="TextBox 4">
          <a:extLst>
            <a:ext uri="{FF2B5EF4-FFF2-40B4-BE49-F238E27FC236}">
              <a16:creationId xmlns:a16="http://schemas.microsoft.com/office/drawing/2014/main" id="{00000000-0008-0000-1000-000006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5">
          <a:extLst>
            <a:ext uri="{FF2B5EF4-FFF2-40B4-BE49-F238E27FC236}">
              <a16:creationId xmlns:a16="http://schemas.microsoft.com/office/drawing/2014/main" id="{00000000-0008-0000-10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6">
          <a:extLst>
            <a:ext uri="{FF2B5EF4-FFF2-40B4-BE49-F238E27FC236}">
              <a16:creationId xmlns:a16="http://schemas.microsoft.com/office/drawing/2014/main" id="{00000000-0008-0000-10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7">
          <a:extLst>
            <a:ext uri="{FF2B5EF4-FFF2-40B4-BE49-F238E27FC236}">
              <a16:creationId xmlns:a16="http://schemas.microsoft.com/office/drawing/2014/main" id="{00000000-0008-0000-10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8">
          <a:extLst>
            <a:ext uri="{FF2B5EF4-FFF2-40B4-BE49-F238E27FC236}">
              <a16:creationId xmlns:a16="http://schemas.microsoft.com/office/drawing/2014/main" id="{00000000-0008-0000-10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9">
          <a:extLst>
            <a:ext uri="{FF2B5EF4-FFF2-40B4-BE49-F238E27FC236}">
              <a16:creationId xmlns:a16="http://schemas.microsoft.com/office/drawing/2014/main" id="{00000000-0008-0000-10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2" name="TextBox 10">
          <a:extLst>
            <a:ext uri="{FF2B5EF4-FFF2-40B4-BE49-F238E27FC236}">
              <a16:creationId xmlns:a16="http://schemas.microsoft.com/office/drawing/2014/main" id="{00000000-0008-0000-10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3" name="TextBox 11">
          <a:extLst>
            <a:ext uri="{FF2B5EF4-FFF2-40B4-BE49-F238E27FC236}">
              <a16:creationId xmlns:a16="http://schemas.microsoft.com/office/drawing/2014/main" id="{00000000-0008-0000-1000-00000D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4" name="TextBox 12">
          <a:extLst>
            <a:ext uri="{FF2B5EF4-FFF2-40B4-BE49-F238E27FC236}">
              <a16:creationId xmlns:a16="http://schemas.microsoft.com/office/drawing/2014/main" id="{00000000-0008-0000-1000-00000E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5" name="TextBox 13">
          <a:extLst>
            <a:ext uri="{FF2B5EF4-FFF2-40B4-BE49-F238E27FC236}">
              <a16:creationId xmlns:a16="http://schemas.microsoft.com/office/drawing/2014/main" id="{00000000-0008-0000-1000-00000F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6" name="TextBox 14">
          <a:extLst>
            <a:ext uri="{FF2B5EF4-FFF2-40B4-BE49-F238E27FC236}">
              <a16:creationId xmlns:a16="http://schemas.microsoft.com/office/drawing/2014/main" id="{00000000-0008-0000-1000-000010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7" name="TextBox 15">
          <a:extLst>
            <a:ext uri="{FF2B5EF4-FFF2-40B4-BE49-F238E27FC236}">
              <a16:creationId xmlns:a16="http://schemas.microsoft.com/office/drawing/2014/main" id="{00000000-0008-0000-1000-000011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X16A0T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X16A0T</a:t>
          </a:r>
        </a:p>
      </xdr:txBody>
    </xdr:sp>
    <xdr:clientData/>
  </xdr:twoCellAnchor>
  <xdr:twoCellAnchor>
    <xdr:from>
      <xdr:col>0</xdr:col>
      <xdr:colOff>0</xdr:colOff>
      <xdr:row>0</xdr:row>
      <xdr:rowOff>3174</xdr:rowOff>
    </xdr:from>
    <xdr:to>
      <xdr:col>1</xdr:col>
      <xdr:colOff>387927</xdr:colOff>
      <xdr:row>0</xdr:row>
      <xdr:rowOff>105766</xdr:rowOff>
    </xdr:to>
    <xdr:sp macro="" textlink="">
      <xdr:nvSpPr>
        <xdr:cNvPr id="3" name="TextBox 2">
          <a:extLst>
            <a:ext uri="{FF2B5EF4-FFF2-40B4-BE49-F238E27FC236}">
              <a16:creationId xmlns:a16="http://schemas.microsoft.com/office/drawing/2014/main" id="{00000000-0008-0000-1100-000003000000}"/>
            </a:ext>
          </a:extLst>
        </xdr:cNvPr>
        <xdr:cNvSpPr txBox="1"/>
      </xdr:nvSpPr>
      <xdr:spPr>
        <a:xfrm>
          <a:off x="0" y="3174"/>
          <a:ext cx="72320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0000000-0008-0000-11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0</xdr:col>
      <xdr:colOff>0</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0000000-0008-0000-1100-000006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00000000-0008-0000-11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00000000-0008-0000-11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00000000-0008-0000-11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9">
          <a:extLst>
            <a:ext uri="{FF2B5EF4-FFF2-40B4-BE49-F238E27FC236}">
              <a16:creationId xmlns:a16="http://schemas.microsoft.com/office/drawing/2014/main" id="{00000000-0008-0000-11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10">
          <a:extLst>
            <a:ext uri="{FF2B5EF4-FFF2-40B4-BE49-F238E27FC236}">
              <a16:creationId xmlns:a16="http://schemas.microsoft.com/office/drawing/2014/main" id="{00000000-0008-0000-11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2" name="TextBox 11">
          <a:extLst>
            <a:ext uri="{FF2B5EF4-FFF2-40B4-BE49-F238E27FC236}">
              <a16:creationId xmlns:a16="http://schemas.microsoft.com/office/drawing/2014/main" id="{00000000-0008-0000-11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3" name="TextBox 12">
          <a:extLst>
            <a:ext uri="{FF2B5EF4-FFF2-40B4-BE49-F238E27FC236}">
              <a16:creationId xmlns:a16="http://schemas.microsoft.com/office/drawing/2014/main" id="{00000000-0008-0000-1100-00000D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4" name="TextBox 13">
          <a:extLst>
            <a:ext uri="{FF2B5EF4-FFF2-40B4-BE49-F238E27FC236}">
              <a16:creationId xmlns:a16="http://schemas.microsoft.com/office/drawing/2014/main" id="{00000000-0008-0000-1100-00000E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5" name="TextBox 14">
          <a:extLst>
            <a:ext uri="{FF2B5EF4-FFF2-40B4-BE49-F238E27FC236}">
              <a16:creationId xmlns:a16="http://schemas.microsoft.com/office/drawing/2014/main" id="{00000000-0008-0000-1100-00000F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6" name="TextBox 15">
          <a:extLst>
            <a:ext uri="{FF2B5EF4-FFF2-40B4-BE49-F238E27FC236}">
              <a16:creationId xmlns:a16="http://schemas.microsoft.com/office/drawing/2014/main" id="{00000000-0008-0000-1100-000010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7" name="TextBox 16">
          <a:extLst>
            <a:ext uri="{FF2B5EF4-FFF2-40B4-BE49-F238E27FC236}">
              <a16:creationId xmlns:a16="http://schemas.microsoft.com/office/drawing/2014/main" id="{00000000-0008-0000-1100-000011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0</xdr:colOff>
      <xdr:row>8</xdr:row>
      <xdr:rowOff>-1</xdr:rowOff>
    </xdr:from>
    <xdr:to>
      <xdr:col>9</xdr:col>
      <xdr:colOff>502920</xdr:colOff>
      <xdr:row>21</xdr:row>
      <xdr:rowOff>235526</xdr:rowOff>
    </xdr:to>
    <xdr:graphicFrame macro="">
      <xdr:nvGraphicFramePr>
        <xdr:cNvPr id="24" name="Chart 1">
          <a:extLst>
            <a:ext uri="{FF2B5EF4-FFF2-40B4-BE49-F238E27FC236}">
              <a16:creationId xmlns:a16="http://schemas.microsoft.com/office/drawing/2014/main" id="{00000000-0008-0000-11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22</xdr:row>
      <xdr:rowOff>228599</xdr:rowOff>
    </xdr:from>
    <xdr:to>
      <xdr:col>9</xdr:col>
      <xdr:colOff>502920</xdr:colOff>
      <xdr:row>36</xdr:row>
      <xdr:rowOff>193962</xdr:rowOff>
    </xdr:to>
    <xdr:graphicFrame macro="">
      <xdr:nvGraphicFramePr>
        <xdr:cNvPr id="25" name="Chart 2">
          <a:extLst>
            <a:ext uri="{FF2B5EF4-FFF2-40B4-BE49-F238E27FC236}">
              <a16:creationId xmlns:a16="http://schemas.microsoft.com/office/drawing/2014/main" id="{00000000-0008-0000-1100-000019000000}"/>
            </a:ext>
            <a:ext uri="{147F2762-F138-4A5C-976F-8EAC2B608ADB}">
              <a16:predDERef xmlns:a16="http://schemas.microsoft.com/office/drawing/2014/main" pre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39</xdr:row>
      <xdr:rowOff>366</xdr:rowOff>
    </xdr:from>
    <xdr:to>
      <xdr:col>9</xdr:col>
      <xdr:colOff>491836</xdr:colOff>
      <xdr:row>53</xdr:row>
      <xdr:rowOff>73003</xdr:rowOff>
    </xdr:to>
    <xdr:graphicFrame macro="">
      <xdr:nvGraphicFramePr>
        <xdr:cNvPr id="26" name="Chart 3">
          <a:extLst>
            <a:ext uri="{FF2B5EF4-FFF2-40B4-BE49-F238E27FC236}">
              <a16:creationId xmlns:a16="http://schemas.microsoft.com/office/drawing/2014/main" id="{00000000-0008-0000-1100-00001A000000}"/>
            </a:ext>
            <a:ext uri="{147F2762-F138-4A5C-976F-8EAC2B608ADB}">
              <a16:predDERef xmlns:a16="http://schemas.microsoft.com/office/drawing/2014/main" pred="{00000000-0008-0000-1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00000000-0008-0000-11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X17A0T</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42455</xdr:colOff>
      <xdr:row>34</xdr:row>
      <xdr:rowOff>229689</xdr:rowOff>
    </xdr:from>
    <xdr:to>
      <xdr:col>8</xdr:col>
      <xdr:colOff>326572</xdr:colOff>
      <xdr:row>48</xdr:row>
      <xdr:rowOff>206828</xdr:rowOff>
    </xdr:to>
    <xdr:graphicFrame macro="">
      <xdr:nvGraphicFramePr>
        <xdr:cNvPr id="4" name="Chart 1">
          <a:extLst>
            <a:ext uri="{FF2B5EF4-FFF2-40B4-BE49-F238E27FC236}">
              <a16:creationId xmlns:a16="http://schemas.microsoft.com/office/drawing/2014/main" id="{00000000-0008-0000-1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3174</xdr:rowOff>
    </xdr:from>
    <xdr:to>
      <xdr:col>2</xdr:col>
      <xdr:colOff>387927</xdr:colOff>
      <xdr:row>0</xdr:row>
      <xdr:rowOff>105766</xdr:rowOff>
    </xdr:to>
    <xdr:sp macro="" textlink="">
      <xdr:nvSpPr>
        <xdr:cNvPr id="18" name="TextBox 2">
          <a:extLst>
            <a:ext uri="{FF2B5EF4-FFF2-40B4-BE49-F238E27FC236}">
              <a16:creationId xmlns:a16="http://schemas.microsoft.com/office/drawing/2014/main" id="{00000000-0008-0000-1200-000012000000}"/>
            </a:ext>
          </a:extLst>
        </xdr:cNvPr>
        <xdr:cNvSpPr txBox="1"/>
      </xdr:nvSpPr>
      <xdr:spPr>
        <a:xfrm>
          <a:off x="0" y="3174"/>
          <a:ext cx="19812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5" name="TextBox 3">
          <a:extLst>
            <a:ext uri="{FF2B5EF4-FFF2-40B4-BE49-F238E27FC236}">
              <a16:creationId xmlns:a16="http://schemas.microsoft.com/office/drawing/2014/main" id="{00000000-0008-0000-12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1</xdr:col>
      <xdr:colOff>0</xdr:colOff>
      <xdr:row>0</xdr:row>
      <xdr:rowOff>3175</xdr:rowOff>
    </xdr:from>
    <xdr:to>
      <xdr:col>1</xdr:col>
      <xdr:colOff>66675</xdr:colOff>
      <xdr:row>0</xdr:row>
      <xdr:rowOff>105767</xdr:rowOff>
    </xdr:to>
    <xdr:sp macro="" textlink="">
      <xdr:nvSpPr>
        <xdr:cNvPr id="6" name="TextBox 4">
          <a:extLst>
            <a:ext uri="{FF2B5EF4-FFF2-40B4-BE49-F238E27FC236}">
              <a16:creationId xmlns:a16="http://schemas.microsoft.com/office/drawing/2014/main" id="{00000000-0008-0000-1200-000006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7" name="TextBox 5">
          <a:extLst>
            <a:ext uri="{FF2B5EF4-FFF2-40B4-BE49-F238E27FC236}">
              <a16:creationId xmlns:a16="http://schemas.microsoft.com/office/drawing/2014/main" id="{00000000-0008-0000-12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8" name="TextBox 6">
          <a:extLst>
            <a:ext uri="{FF2B5EF4-FFF2-40B4-BE49-F238E27FC236}">
              <a16:creationId xmlns:a16="http://schemas.microsoft.com/office/drawing/2014/main" id="{00000000-0008-0000-12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9" name="TextBox 7">
          <a:extLst>
            <a:ext uri="{FF2B5EF4-FFF2-40B4-BE49-F238E27FC236}">
              <a16:creationId xmlns:a16="http://schemas.microsoft.com/office/drawing/2014/main" id="{00000000-0008-0000-12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0" name="TextBox 8">
          <a:extLst>
            <a:ext uri="{FF2B5EF4-FFF2-40B4-BE49-F238E27FC236}">
              <a16:creationId xmlns:a16="http://schemas.microsoft.com/office/drawing/2014/main" id="{00000000-0008-0000-12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1" name="TextBox 9">
          <a:extLst>
            <a:ext uri="{FF2B5EF4-FFF2-40B4-BE49-F238E27FC236}">
              <a16:creationId xmlns:a16="http://schemas.microsoft.com/office/drawing/2014/main" id="{00000000-0008-0000-12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2" name="TextBox 10">
          <a:extLst>
            <a:ext uri="{FF2B5EF4-FFF2-40B4-BE49-F238E27FC236}">
              <a16:creationId xmlns:a16="http://schemas.microsoft.com/office/drawing/2014/main" id="{00000000-0008-0000-12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3" name="TextBox 11">
          <a:extLst>
            <a:ext uri="{FF2B5EF4-FFF2-40B4-BE49-F238E27FC236}">
              <a16:creationId xmlns:a16="http://schemas.microsoft.com/office/drawing/2014/main" id="{00000000-0008-0000-1200-00000D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4" name="TextBox 12">
          <a:extLst>
            <a:ext uri="{FF2B5EF4-FFF2-40B4-BE49-F238E27FC236}">
              <a16:creationId xmlns:a16="http://schemas.microsoft.com/office/drawing/2014/main" id="{00000000-0008-0000-1200-00000E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5" name="TextBox 13">
          <a:extLst>
            <a:ext uri="{FF2B5EF4-FFF2-40B4-BE49-F238E27FC236}">
              <a16:creationId xmlns:a16="http://schemas.microsoft.com/office/drawing/2014/main" id="{00000000-0008-0000-1200-00000F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6" name="TextBox 14">
          <a:extLst>
            <a:ext uri="{FF2B5EF4-FFF2-40B4-BE49-F238E27FC236}">
              <a16:creationId xmlns:a16="http://schemas.microsoft.com/office/drawing/2014/main" id="{00000000-0008-0000-1200-000010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1</xdr:col>
      <xdr:colOff>3175</xdr:colOff>
      <xdr:row>0</xdr:row>
      <xdr:rowOff>3175</xdr:rowOff>
    </xdr:from>
    <xdr:to>
      <xdr:col>1</xdr:col>
      <xdr:colOff>66675</xdr:colOff>
      <xdr:row>0</xdr:row>
      <xdr:rowOff>105767</xdr:rowOff>
    </xdr:to>
    <xdr:sp macro="" textlink="">
      <xdr:nvSpPr>
        <xdr:cNvPr id="17" name="TextBox 15">
          <a:extLst>
            <a:ext uri="{FF2B5EF4-FFF2-40B4-BE49-F238E27FC236}">
              <a16:creationId xmlns:a16="http://schemas.microsoft.com/office/drawing/2014/main" id="{00000000-0008-0000-1200-000011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3174</xdr:rowOff>
    </xdr:from>
    <xdr:to>
      <xdr:col>1</xdr:col>
      <xdr:colOff>387927</xdr:colOff>
      <xdr:row>0</xdr:row>
      <xdr:rowOff>105766</xdr:rowOff>
    </xdr:to>
    <xdr:sp macro="" textlink="">
      <xdr:nvSpPr>
        <xdr:cNvPr id="2" name="TextBox 2">
          <a:extLst>
            <a:ext uri="{FF2B5EF4-FFF2-40B4-BE49-F238E27FC236}">
              <a16:creationId xmlns:a16="http://schemas.microsoft.com/office/drawing/2014/main" id="{00000000-0008-0000-1300-000002000000}"/>
            </a:ext>
          </a:extLst>
        </xdr:cNvPr>
        <xdr:cNvSpPr txBox="1"/>
      </xdr:nvSpPr>
      <xdr:spPr>
        <a:xfrm>
          <a:off x="0" y="3174"/>
          <a:ext cx="75368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3">
          <a:extLst>
            <a:ext uri="{FF2B5EF4-FFF2-40B4-BE49-F238E27FC236}">
              <a16:creationId xmlns:a16="http://schemas.microsoft.com/office/drawing/2014/main" id="{00000000-0008-0000-13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0</xdr:col>
      <xdr:colOff>0</xdr:colOff>
      <xdr:row>0</xdr:row>
      <xdr:rowOff>3175</xdr:rowOff>
    </xdr:from>
    <xdr:to>
      <xdr:col>0</xdr:col>
      <xdr:colOff>66675</xdr:colOff>
      <xdr:row>0</xdr:row>
      <xdr:rowOff>105767</xdr:rowOff>
    </xdr:to>
    <xdr:sp macro="" textlink="">
      <xdr:nvSpPr>
        <xdr:cNvPr id="4" name="TextBox 4">
          <a:extLst>
            <a:ext uri="{FF2B5EF4-FFF2-40B4-BE49-F238E27FC236}">
              <a16:creationId xmlns:a16="http://schemas.microsoft.com/office/drawing/2014/main" id="{00000000-0008-0000-1300-000004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5">
          <a:extLst>
            <a:ext uri="{FF2B5EF4-FFF2-40B4-BE49-F238E27FC236}">
              <a16:creationId xmlns:a16="http://schemas.microsoft.com/office/drawing/2014/main" id="{00000000-0008-0000-13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6">
          <a:extLst>
            <a:ext uri="{FF2B5EF4-FFF2-40B4-BE49-F238E27FC236}">
              <a16:creationId xmlns:a16="http://schemas.microsoft.com/office/drawing/2014/main" id="{00000000-0008-0000-13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7">
          <a:extLst>
            <a:ext uri="{FF2B5EF4-FFF2-40B4-BE49-F238E27FC236}">
              <a16:creationId xmlns:a16="http://schemas.microsoft.com/office/drawing/2014/main" id="{00000000-0008-0000-13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8">
          <a:extLst>
            <a:ext uri="{FF2B5EF4-FFF2-40B4-BE49-F238E27FC236}">
              <a16:creationId xmlns:a16="http://schemas.microsoft.com/office/drawing/2014/main" id="{00000000-0008-0000-13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9">
          <a:extLst>
            <a:ext uri="{FF2B5EF4-FFF2-40B4-BE49-F238E27FC236}">
              <a16:creationId xmlns:a16="http://schemas.microsoft.com/office/drawing/2014/main" id="{00000000-0008-0000-13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10">
          <a:extLst>
            <a:ext uri="{FF2B5EF4-FFF2-40B4-BE49-F238E27FC236}">
              <a16:creationId xmlns:a16="http://schemas.microsoft.com/office/drawing/2014/main" id="{00000000-0008-0000-13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11">
          <a:extLst>
            <a:ext uri="{FF2B5EF4-FFF2-40B4-BE49-F238E27FC236}">
              <a16:creationId xmlns:a16="http://schemas.microsoft.com/office/drawing/2014/main" id="{00000000-0008-0000-13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2" name="TextBox 12">
          <a:extLst>
            <a:ext uri="{FF2B5EF4-FFF2-40B4-BE49-F238E27FC236}">
              <a16:creationId xmlns:a16="http://schemas.microsoft.com/office/drawing/2014/main" id="{00000000-0008-0000-13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3" name="TextBox 13">
          <a:extLst>
            <a:ext uri="{FF2B5EF4-FFF2-40B4-BE49-F238E27FC236}">
              <a16:creationId xmlns:a16="http://schemas.microsoft.com/office/drawing/2014/main" id="{00000000-0008-0000-1300-00000D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4" name="TextBox 14">
          <a:extLst>
            <a:ext uri="{FF2B5EF4-FFF2-40B4-BE49-F238E27FC236}">
              <a16:creationId xmlns:a16="http://schemas.microsoft.com/office/drawing/2014/main" id="{00000000-0008-0000-1300-00000E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5" name="TextBox 15">
          <a:extLst>
            <a:ext uri="{FF2B5EF4-FFF2-40B4-BE49-F238E27FC236}">
              <a16:creationId xmlns:a16="http://schemas.microsoft.com/office/drawing/2014/main" id="{00000000-0008-0000-1300-00000F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3174</xdr:rowOff>
    </xdr:from>
    <xdr:to>
      <xdr:col>1</xdr:col>
      <xdr:colOff>387927</xdr:colOff>
      <xdr:row>0</xdr:row>
      <xdr:rowOff>105766</xdr:rowOff>
    </xdr:to>
    <xdr:sp macro="" textlink="">
      <xdr:nvSpPr>
        <xdr:cNvPr id="2" name="TextBox 2">
          <a:extLst>
            <a:ext uri="{FF2B5EF4-FFF2-40B4-BE49-F238E27FC236}">
              <a16:creationId xmlns:a16="http://schemas.microsoft.com/office/drawing/2014/main" id="{00000000-0008-0000-1400-000002000000}"/>
            </a:ext>
          </a:extLst>
        </xdr:cNvPr>
        <xdr:cNvSpPr txBox="1"/>
      </xdr:nvSpPr>
      <xdr:spPr>
        <a:xfrm>
          <a:off x="0" y="3174"/>
          <a:ext cx="142424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3">
          <a:extLst>
            <a:ext uri="{FF2B5EF4-FFF2-40B4-BE49-F238E27FC236}">
              <a16:creationId xmlns:a16="http://schemas.microsoft.com/office/drawing/2014/main" id="{00000000-0008-0000-14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0</xdr:col>
      <xdr:colOff>0</xdr:colOff>
      <xdr:row>0</xdr:row>
      <xdr:rowOff>3175</xdr:rowOff>
    </xdr:from>
    <xdr:to>
      <xdr:col>0</xdr:col>
      <xdr:colOff>66675</xdr:colOff>
      <xdr:row>0</xdr:row>
      <xdr:rowOff>105767</xdr:rowOff>
    </xdr:to>
    <xdr:sp macro="" textlink="">
      <xdr:nvSpPr>
        <xdr:cNvPr id="4" name="TextBox 4">
          <a:extLst>
            <a:ext uri="{FF2B5EF4-FFF2-40B4-BE49-F238E27FC236}">
              <a16:creationId xmlns:a16="http://schemas.microsoft.com/office/drawing/2014/main" id="{00000000-0008-0000-1400-000004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5">
          <a:extLst>
            <a:ext uri="{FF2B5EF4-FFF2-40B4-BE49-F238E27FC236}">
              <a16:creationId xmlns:a16="http://schemas.microsoft.com/office/drawing/2014/main" id="{00000000-0008-0000-14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6">
          <a:extLst>
            <a:ext uri="{FF2B5EF4-FFF2-40B4-BE49-F238E27FC236}">
              <a16:creationId xmlns:a16="http://schemas.microsoft.com/office/drawing/2014/main" id="{00000000-0008-0000-14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7">
          <a:extLst>
            <a:ext uri="{FF2B5EF4-FFF2-40B4-BE49-F238E27FC236}">
              <a16:creationId xmlns:a16="http://schemas.microsoft.com/office/drawing/2014/main" id="{00000000-0008-0000-14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8">
          <a:extLst>
            <a:ext uri="{FF2B5EF4-FFF2-40B4-BE49-F238E27FC236}">
              <a16:creationId xmlns:a16="http://schemas.microsoft.com/office/drawing/2014/main" id="{00000000-0008-0000-14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9">
          <a:extLst>
            <a:ext uri="{FF2B5EF4-FFF2-40B4-BE49-F238E27FC236}">
              <a16:creationId xmlns:a16="http://schemas.microsoft.com/office/drawing/2014/main" id="{00000000-0008-0000-14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10">
          <a:extLst>
            <a:ext uri="{FF2B5EF4-FFF2-40B4-BE49-F238E27FC236}">
              <a16:creationId xmlns:a16="http://schemas.microsoft.com/office/drawing/2014/main" id="{00000000-0008-0000-14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11">
          <a:extLst>
            <a:ext uri="{FF2B5EF4-FFF2-40B4-BE49-F238E27FC236}">
              <a16:creationId xmlns:a16="http://schemas.microsoft.com/office/drawing/2014/main" id="{00000000-0008-0000-14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2" name="TextBox 12">
          <a:extLst>
            <a:ext uri="{FF2B5EF4-FFF2-40B4-BE49-F238E27FC236}">
              <a16:creationId xmlns:a16="http://schemas.microsoft.com/office/drawing/2014/main" id="{00000000-0008-0000-14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3" name="TextBox 13">
          <a:extLst>
            <a:ext uri="{FF2B5EF4-FFF2-40B4-BE49-F238E27FC236}">
              <a16:creationId xmlns:a16="http://schemas.microsoft.com/office/drawing/2014/main" id="{00000000-0008-0000-1400-00000D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4" name="TextBox 14">
          <a:extLst>
            <a:ext uri="{FF2B5EF4-FFF2-40B4-BE49-F238E27FC236}">
              <a16:creationId xmlns:a16="http://schemas.microsoft.com/office/drawing/2014/main" id="{00000000-0008-0000-1400-00000E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5" name="TextBox 15">
          <a:extLst>
            <a:ext uri="{FF2B5EF4-FFF2-40B4-BE49-F238E27FC236}">
              <a16:creationId xmlns:a16="http://schemas.microsoft.com/office/drawing/2014/main" id="{00000000-0008-0000-1400-00000F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3174</xdr:rowOff>
    </xdr:from>
    <xdr:to>
      <xdr:col>1</xdr:col>
      <xdr:colOff>387927</xdr:colOff>
      <xdr:row>0</xdr:row>
      <xdr:rowOff>105766</xdr:rowOff>
    </xdr:to>
    <xdr:sp macro="" textlink="">
      <xdr:nvSpPr>
        <xdr:cNvPr id="2" name="TextBox 2">
          <a:extLst>
            <a:ext uri="{FF2B5EF4-FFF2-40B4-BE49-F238E27FC236}">
              <a16:creationId xmlns:a16="http://schemas.microsoft.com/office/drawing/2014/main" id="{00000000-0008-0000-1500-000002000000}"/>
            </a:ext>
          </a:extLst>
        </xdr:cNvPr>
        <xdr:cNvSpPr txBox="1"/>
      </xdr:nvSpPr>
      <xdr:spPr>
        <a:xfrm>
          <a:off x="0" y="3174"/>
          <a:ext cx="70796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3">
          <a:extLst>
            <a:ext uri="{FF2B5EF4-FFF2-40B4-BE49-F238E27FC236}">
              <a16:creationId xmlns:a16="http://schemas.microsoft.com/office/drawing/2014/main" id="{00000000-0008-0000-15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0</xdr:col>
      <xdr:colOff>0</xdr:colOff>
      <xdr:row>0</xdr:row>
      <xdr:rowOff>3175</xdr:rowOff>
    </xdr:from>
    <xdr:to>
      <xdr:col>0</xdr:col>
      <xdr:colOff>66675</xdr:colOff>
      <xdr:row>0</xdr:row>
      <xdr:rowOff>105767</xdr:rowOff>
    </xdr:to>
    <xdr:sp macro="" textlink="">
      <xdr:nvSpPr>
        <xdr:cNvPr id="4" name="TextBox 4">
          <a:extLst>
            <a:ext uri="{FF2B5EF4-FFF2-40B4-BE49-F238E27FC236}">
              <a16:creationId xmlns:a16="http://schemas.microsoft.com/office/drawing/2014/main" id="{00000000-0008-0000-1500-000004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5">
          <a:extLst>
            <a:ext uri="{FF2B5EF4-FFF2-40B4-BE49-F238E27FC236}">
              <a16:creationId xmlns:a16="http://schemas.microsoft.com/office/drawing/2014/main" id="{00000000-0008-0000-15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6">
          <a:extLst>
            <a:ext uri="{FF2B5EF4-FFF2-40B4-BE49-F238E27FC236}">
              <a16:creationId xmlns:a16="http://schemas.microsoft.com/office/drawing/2014/main" id="{00000000-0008-0000-15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7">
          <a:extLst>
            <a:ext uri="{FF2B5EF4-FFF2-40B4-BE49-F238E27FC236}">
              <a16:creationId xmlns:a16="http://schemas.microsoft.com/office/drawing/2014/main" id="{00000000-0008-0000-15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8">
          <a:extLst>
            <a:ext uri="{FF2B5EF4-FFF2-40B4-BE49-F238E27FC236}">
              <a16:creationId xmlns:a16="http://schemas.microsoft.com/office/drawing/2014/main" id="{00000000-0008-0000-15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9">
          <a:extLst>
            <a:ext uri="{FF2B5EF4-FFF2-40B4-BE49-F238E27FC236}">
              <a16:creationId xmlns:a16="http://schemas.microsoft.com/office/drawing/2014/main" id="{00000000-0008-0000-15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10">
          <a:extLst>
            <a:ext uri="{FF2B5EF4-FFF2-40B4-BE49-F238E27FC236}">
              <a16:creationId xmlns:a16="http://schemas.microsoft.com/office/drawing/2014/main" id="{00000000-0008-0000-15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11">
          <a:extLst>
            <a:ext uri="{FF2B5EF4-FFF2-40B4-BE49-F238E27FC236}">
              <a16:creationId xmlns:a16="http://schemas.microsoft.com/office/drawing/2014/main" id="{00000000-0008-0000-15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2" name="TextBox 12">
          <a:extLst>
            <a:ext uri="{FF2B5EF4-FFF2-40B4-BE49-F238E27FC236}">
              <a16:creationId xmlns:a16="http://schemas.microsoft.com/office/drawing/2014/main" id="{00000000-0008-0000-1500-00000C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3" name="TextBox 13">
          <a:extLst>
            <a:ext uri="{FF2B5EF4-FFF2-40B4-BE49-F238E27FC236}">
              <a16:creationId xmlns:a16="http://schemas.microsoft.com/office/drawing/2014/main" id="{00000000-0008-0000-1500-00000D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4" name="TextBox 14">
          <a:extLst>
            <a:ext uri="{FF2B5EF4-FFF2-40B4-BE49-F238E27FC236}">
              <a16:creationId xmlns:a16="http://schemas.microsoft.com/office/drawing/2014/main" id="{00000000-0008-0000-1500-00000E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22860</xdr:colOff>
          <xdr:row>33</xdr:row>
          <xdr:rowOff>0</xdr:rowOff>
        </xdr:from>
        <xdr:to>
          <xdr:col>3</xdr:col>
          <xdr:colOff>30480</xdr:colOff>
          <xdr:row>33</xdr:row>
          <xdr:rowOff>7620</xdr:rowOff>
        </xdr:to>
        <xdr:sp macro="" textlink="">
          <xdr:nvSpPr>
            <xdr:cNvPr id="30721" name="Check Box 1" descr="Checkbox - check if othersupporting  information is included" hidden="1">
              <a:extLst>
                <a:ext uri="{63B3BB69-23CF-44E3-9099-C40C66FF867C}">
                  <a14:compatExt spid="_x0000_s30721"/>
                </a:ext>
                <a:ext uri="{FF2B5EF4-FFF2-40B4-BE49-F238E27FC236}">
                  <a16:creationId xmlns:a16="http://schemas.microsoft.com/office/drawing/2014/main" id="{00000000-0008-0000-04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X2A0T</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3174</xdr:rowOff>
    </xdr:from>
    <xdr:to>
      <xdr:col>1</xdr:col>
      <xdr:colOff>387927</xdr:colOff>
      <xdr:row>0</xdr:row>
      <xdr:rowOff>105766</xdr:rowOff>
    </xdr:to>
    <xdr:sp macro="" textlink="">
      <xdr:nvSpPr>
        <xdr:cNvPr id="2" name="TextBox 2">
          <a:extLst>
            <a:ext uri="{FF2B5EF4-FFF2-40B4-BE49-F238E27FC236}">
              <a16:creationId xmlns:a16="http://schemas.microsoft.com/office/drawing/2014/main" id="{00000000-0008-0000-1600-000002000000}"/>
            </a:ext>
          </a:extLst>
        </xdr:cNvPr>
        <xdr:cNvSpPr txBox="1"/>
      </xdr:nvSpPr>
      <xdr:spPr>
        <a:xfrm>
          <a:off x="0" y="3174"/>
          <a:ext cx="198050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3">
          <a:extLst>
            <a:ext uri="{FF2B5EF4-FFF2-40B4-BE49-F238E27FC236}">
              <a16:creationId xmlns:a16="http://schemas.microsoft.com/office/drawing/2014/main" id="{00000000-0008-0000-1600-000003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0</xdr:col>
      <xdr:colOff>0</xdr:colOff>
      <xdr:row>0</xdr:row>
      <xdr:rowOff>3175</xdr:rowOff>
    </xdr:from>
    <xdr:to>
      <xdr:col>0</xdr:col>
      <xdr:colOff>66675</xdr:colOff>
      <xdr:row>0</xdr:row>
      <xdr:rowOff>105767</xdr:rowOff>
    </xdr:to>
    <xdr:sp macro="" textlink="">
      <xdr:nvSpPr>
        <xdr:cNvPr id="4" name="TextBox 4">
          <a:extLst>
            <a:ext uri="{FF2B5EF4-FFF2-40B4-BE49-F238E27FC236}">
              <a16:creationId xmlns:a16="http://schemas.microsoft.com/office/drawing/2014/main" id="{00000000-0008-0000-1600-000004000000}"/>
            </a:ext>
          </a:extLst>
        </xdr:cNvPr>
        <xdr:cNvSpPr txBox="1"/>
      </xdr:nvSpPr>
      <xdr:spPr>
        <a:xfrm>
          <a:off x="36576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5">
          <a:extLst>
            <a:ext uri="{FF2B5EF4-FFF2-40B4-BE49-F238E27FC236}">
              <a16:creationId xmlns:a16="http://schemas.microsoft.com/office/drawing/2014/main" id="{00000000-0008-0000-1600-000005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6">
          <a:extLst>
            <a:ext uri="{FF2B5EF4-FFF2-40B4-BE49-F238E27FC236}">
              <a16:creationId xmlns:a16="http://schemas.microsoft.com/office/drawing/2014/main" id="{00000000-0008-0000-1600-000006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7">
          <a:extLst>
            <a:ext uri="{FF2B5EF4-FFF2-40B4-BE49-F238E27FC236}">
              <a16:creationId xmlns:a16="http://schemas.microsoft.com/office/drawing/2014/main" id="{00000000-0008-0000-1600-000007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8">
          <a:extLst>
            <a:ext uri="{FF2B5EF4-FFF2-40B4-BE49-F238E27FC236}">
              <a16:creationId xmlns:a16="http://schemas.microsoft.com/office/drawing/2014/main" id="{00000000-0008-0000-1600-000008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9">
          <a:extLst>
            <a:ext uri="{FF2B5EF4-FFF2-40B4-BE49-F238E27FC236}">
              <a16:creationId xmlns:a16="http://schemas.microsoft.com/office/drawing/2014/main" id="{00000000-0008-0000-1600-000009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10">
          <a:extLst>
            <a:ext uri="{FF2B5EF4-FFF2-40B4-BE49-F238E27FC236}">
              <a16:creationId xmlns:a16="http://schemas.microsoft.com/office/drawing/2014/main" id="{00000000-0008-0000-1600-00000A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11">
          <a:extLst>
            <a:ext uri="{FF2B5EF4-FFF2-40B4-BE49-F238E27FC236}">
              <a16:creationId xmlns:a16="http://schemas.microsoft.com/office/drawing/2014/main" id="{00000000-0008-0000-1600-00000B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2" name="TextBox 12">
          <a:extLst>
            <a:ext uri="{FF2B5EF4-FFF2-40B4-BE49-F238E27FC236}">
              <a16:creationId xmlns:a16="http://schemas.microsoft.com/office/drawing/2014/main" id="{00000000-0008-0000-1600-00000C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3" name="TextBox 13">
          <a:extLst>
            <a:ext uri="{FF2B5EF4-FFF2-40B4-BE49-F238E27FC236}">
              <a16:creationId xmlns:a16="http://schemas.microsoft.com/office/drawing/2014/main" id="{00000000-0008-0000-1600-00000D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4" name="TextBox 14">
          <a:extLst>
            <a:ext uri="{FF2B5EF4-FFF2-40B4-BE49-F238E27FC236}">
              <a16:creationId xmlns:a16="http://schemas.microsoft.com/office/drawing/2014/main" id="{00000000-0008-0000-1600-00000E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5" name="TextBox 15">
          <a:extLst>
            <a:ext uri="{FF2B5EF4-FFF2-40B4-BE49-F238E27FC236}">
              <a16:creationId xmlns:a16="http://schemas.microsoft.com/office/drawing/2014/main" id="{00000000-0008-0000-1600-00000F000000}"/>
            </a:ext>
          </a:extLst>
        </xdr:cNvPr>
        <xdr:cNvSpPr txBox="1"/>
      </xdr:nvSpPr>
      <xdr:spPr>
        <a:xfrm>
          <a:off x="36893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4A0T</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3174</xdr:rowOff>
    </xdr:from>
    <xdr:to>
      <xdr:col>1</xdr:col>
      <xdr:colOff>387927</xdr:colOff>
      <xdr:row>0</xdr:row>
      <xdr:rowOff>105766</xdr:rowOff>
    </xdr:to>
    <xdr:sp macro="" textlink="">
      <xdr:nvSpPr>
        <xdr:cNvPr id="2" name="TextBox 2">
          <a:extLst>
            <a:ext uri="{FF2B5EF4-FFF2-40B4-BE49-F238E27FC236}">
              <a16:creationId xmlns:a16="http://schemas.microsoft.com/office/drawing/2014/main" id="{00000000-0008-0000-1700-000002000000}"/>
            </a:ext>
          </a:extLst>
        </xdr:cNvPr>
        <xdr:cNvSpPr txBox="1"/>
      </xdr:nvSpPr>
      <xdr:spPr>
        <a:xfrm>
          <a:off x="0" y="3174"/>
          <a:ext cx="677487"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l" rtl="0"/>
          <a:r>
            <a:rPr lang="en-US" sz="100">
              <a:latin typeface="ZWAdobeF" pitchFamily="2" charset="0"/>
            </a:rPr>
            <a:t>X14A0T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3">
          <a:extLst>
            <a:ext uri="{FF2B5EF4-FFF2-40B4-BE49-F238E27FC236}">
              <a16:creationId xmlns:a16="http://schemas.microsoft.com/office/drawing/2014/main" id="{00000000-0008-0000-17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X13A0T</a:t>
          </a:r>
        </a:p>
      </xdr:txBody>
    </xdr:sp>
    <xdr:clientData/>
  </xdr:twoCellAnchor>
  <xdr:twoCellAnchor>
    <xdr:from>
      <xdr:col>0</xdr:col>
      <xdr:colOff>0</xdr:colOff>
      <xdr:row>0</xdr:row>
      <xdr:rowOff>3175</xdr:rowOff>
    </xdr:from>
    <xdr:to>
      <xdr:col>0</xdr:col>
      <xdr:colOff>66675</xdr:colOff>
      <xdr:row>0</xdr:row>
      <xdr:rowOff>105767</xdr:rowOff>
    </xdr:to>
    <xdr:sp macro="" textlink="">
      <xdr:nvSpPr>
        <xdr:cNvPr id="4" name="TextBox 4">
          <a:extLst>
            <a:ext uri="{FF2B5EF4-FFF2-40B4-BE49-F238E27FC236}">
              <a16:creationId xmlns:a16="http://schemas.microsoft.com/office/drawing/2014/main" id="{00000000-0008-0000-1700-000004000000}"/>
            </a:ext>
          </a:extLst>
        </xdr:cNvPr>
        <xdr:cNvSpPr txBox="1"/>
      </xdr:nvSpPr>
      <xdr:spPr>
        <a:xfrm>
          <a:off x="0" y="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5">
          <a:extLst>
            <a:ext uri="{FF2B5EF4-FFF2-40B4-BE49-F238E27FC236}">
              <a16:creationId xmlns:a16="http://schemas.microsoft.com/office/drawing/2014/main" id="{00000000-0008-0000-17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6">
          <a:extLst>
            <a:ext uri="{FF2B5EF4-FFF2-40B4-BE49-F238E27FC236}">
              <a16:creationId xmlns:a16="http://schemas.microsoft.com/office/drawing/2014/main" id="{00000000-0008-0000-17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7">
          <a:extLst>
            <a:ext uri="{FF2B5EF4-FFF2-40B4-BE49-F238E27FC236}">
              <a16:creationId xmlns:a16="http://schemas.microsoft.com/office/drawing/2014/main" id="{00000000-0008-0000-17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182880</xdr:colOff>
      <xdr:row>34</xdr:row>
      <xdr:rowOff>45720</xdr:rowOff>
    </xdr:from>
    <xdr:to>
      <xdr:col>7</xdr:col>
      <xdr:colOff>678180</xdr:colOff>
      <xdr:row>53</xdr:row>
      <xdr:rowOff>7620</xdr:rowOff>
    </xdr:to>
    <xdr:graphicFrame macro="">
      <xdr:nvGraphicFramePr>
        <xdr:cNvPr id="6" name="Chart 2">
          <a:extLst>
            <a:ext uri="{FF2B5EF4-FFF2-40B4-BE49-F238E27FC236}">
              <a16:creationId xmlns:a16="http://schemas.microsoft.com/office/drawing/2014/main" id="{00000000-0008-0000-1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1">
          <a:extLst>
            <a:ext uri="{FF2B5EF4-FFF2-40B4-BE49-F238E27FC236}">
              <a16:creationId xmlns:a16="http://schemas.microsoft.com/office/drawing/2014/main" id="{00000000-0008-0000-1E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X29A0T</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1F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1">
          <a:extLst>
            <a:ext uri="{FF2B5EF4-FFF2-40B4-BE49-F238E27FC236}">
              <a16:creationId xmlns:a16="http://schemas.microsoft.com/office/drawing/2014/main" id="{00000000-0008-0000-1F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X29A0T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9">
          <a:extLst>
            <a:ext uri="{FF2B5EF4-FFF2-40B4-BE49-F238E27FC236}">
              <a16:creationId xmlns:a16="http://schemas.microsoft.com/office/drawing/2014/main" id="{00000000-0008-0000-0A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3" name="TextBox 2">
          <a:extLst>
            <a:ext uri="{FF2B5EF4-FFF2-40B4-BE49-F238E27FC236}">
              <a16:creationId xmlns:a16="http://schemas.microsoft.com/office/drawing/2014/main" id="{00000000-0008-0000-0B00-000003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X9A0T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00000000-0008-0000-0B00-000008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9">
          <a:extLst>
            <a:ext uri="{FF2B5EF4-FFF2-40B4-BE49-F238E27FC236}">
              <a16:creationId xmlns:a16="http://schemas.microsoft.com/office/drawing/2014/main" id="{00000000-0008-0000-0B00-00000A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1" name="TextBox 10">
          <a:extLst>
            <a:ext uri="{FF2B5EF4-FFF2-40B4-BE49-F238E27FC236}">
              <a16:creationId xmlns:a16="http://schemas.microsoft.com/office/drawing/2014/main" id="{00000000-0008-0000-0B00-00000B00000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persons/person.xml><?xml version="1.0" encoding="utf-8"?>
<personList xmlns="http://schemas.microsoft.com/office/spreadsheetml/2018/threadedcomments" xmlns:x="http://schemas.openxmlformats.org/spreadsheetml/2006/main">
  <person displayName="David Boon" id="{70596307-22C5-4DA3-8A55-3F4B9B379ED9}" userId="S::David.Boon@tdi.texas.gov::b1490c43-a06f-4b36-98c3-eafbd3b8d90d" providerId="AD"/>
  <person displayName="Riley Hoover" id="{89AA0685-43A4-4C66-B4E0-0600EE300C69}" userId="S::riley.hoover@tdi.texas.gov::024e9a5d-1497-45ad-b8f3-d37531a63ee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A77BCB-F08F-46D8-9B17-A122587F11DE}" name="Table1" displayName="Table1" ref="A10:D264" totalsRowShown="0" headerRowDxfId="196" dataDxfId="194" headerRowBorderDxfId="195" tableBorderDxfId="193">
  <sortState xmlns:xlrd2="http://schemas.microsoft.com/office/spreadsheetml/2017/richdata2" ref="A11:D264">
    <sortCondition ref="A7:A262"/>
  </sortState>
  <tableColumns count="4">
    <tableColumn id="1" xr3:uid="{93BE5A46-767F-4DB5-954F-EFF888E7F8DF}" name="Index" dataDxfId="192" dataCellStyle="Percent 3"/>
    <tableColumn id="2" xr3:uid="{ABD4D4DB-987C-4162-8A34-917477F20EB9}" name="Benchmark_x000a_Territory" dataDxfId="191" dataCellStyle="Percent 3"/>
    <tableColumn id="3" xr3:uid="{36C9DBA7-83BC-4B52-8A53-A37E05DE8D5E}" name="County" dataDxfId="190" dataCellStyle="Normal_Sheet1"/>
    <tableColumn id="4" xr3:uid="{8C533ED8-83E8-4C4A-ADF5-961BE7F844DE}" name="Average Rate Change" dataDxfId="189" dataCellStyle="Normal_Sheet1"/>
  </tableColumns>
  <tableStyleInfo name="TableStyleMedium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62" dT="2024-01-23T23:15:46.47" personId="{89AA0685-43A4-4C66-B4E0-0600EE300C69}" id="{3C0DCE72-48E2-4D73-9B4A-EA2E15633325}" done="1">
    <text xml:space="preserve">Do we want these cells to be hannging out here?  These options can be specified in the &lt;Data Validation&gt; within the cell.  </text>
  </threadedComment>
  <threadedComment ref="A62" dT="2024-01-24T14:21:17.97" personId="{70596307-22C5-4DA3-8A55-3F4B9B379ED9}" id="{6637D47A-CAA8-4BCF-BE57-8F038F0B37FA}" parentId="{3C0DCE72-48E2-4D73-9B4A-EA2E15633325}">
    <text>Thanks! I moved this over here. This time I cut instead of copied, so it looks like it preserved references and whatnot.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3" Type="http://schemas.openxmlformats.org/officeDocument/2006/relationships/hyperlink" Target="http://[s0l9];/" TargetMode="External"/><Relationship Id="rId18" Type="http://schemas.openxmlformats.org/officeDocument/2006/relationships/hyperlink" Target="http://[s0l14];/" TargetMode="External"/><Relationship Id="rId26" Type="http://schemas.openxmlformats.org/officeDocument/2006/relationships/hyperlink" Target="http://[s0l23];/" TargetMode="External"/><Relationship Id="rId3" Type="http://schemas.openxmlformats.org/officeDocument/2006/relationships/hyperlink" Target="http://host.actuarialstandardsboard.org/standards-of-practice/" TargetMode="External"/><Relationship Id="rId21" Type="http://schemas.openxmlformats.org/officeDocument/2006/relationships/hyperlink" Target="http://[s0l18];/" TargetMode="External"/><Relationship Id="rId34" Type="http://schemas.openxmlformats.org/officeDocument/2006/relationships/printerSettings" Target="../printerSettings/printerSettings2.bin"/><Relationship Id="rId7" Type="http://schemas.openxmlformats.org/officeDocument/2006/relationships/hyperlink" Target="http://[s0l3];/" TargetMode="External"/><Relationship Id="rId12" Type="http://schemas.openxmlformats.org/officeDocument/2006/relationships/hyperlink" Target="http://[s0l8];/" TargetMode="External"/><Relationship Id="rId17" Type="http://schemas.openxmlformats.org/officeDocument/2006/relationships/hyperlink" Target="http://[s0l13];/" TargetMode="External"/><Relationship Id="rId25" Type="http://schemas.openxmlformats.org/officeDocument/2006/relationships/hyperlink" Target="http://[s0l22];/" TargetMode="External"/><Relationship Id="rId33" Type="http://schemas.openxmlformats.org/officeDocument/2006/relationships/hyperlink" Target="https://texreg.sos.state.tx.us/public/readtac$ext.ViewTAC?tac_view=5&amp;ti=28&amp;pt=1&amp;ch=5&amp;sch=M&amp;div=6&amp;rl=Y" TargetMode="External"/><Relationship Id="rId2" Type="http://schemas.openxmlformats.org/officeDocument/2006/relationships/hyperlink" Target="http://texreg.sos.state.tx.us/public/readtac$ext.ViewTAC?tac_view=5&amp;ti=28&amp;pt=1&amp;ch=5&amp;sch=M&amp;div=6&amp;rl=Y" TargetMode="External"/><Relationship Id="rId16" Type="http://schemas.openxmlformats.org/officeDocument/2006/relationships/hyperlink" Target="http://[s0l12];/" TargetMode="External"/><Relationship Id="rId20" Type="http://schemas.openxmlformats.org/officeDocument/2006/relationships/hyperlink" Target="http://[s0l17];/" TargetMode="External"/><Relationship Id="rId29" Type="http://schemas.openxmlformats.org/officeDocument/2006/relationships/hyperlink" Target="http://[s0l26];/" TargetMode="External"/><Relationship Id="rId1" Type="http://schemas.openxmlformats.org/officeDocument/2006/relationships/hyperlink" Target="http://[s0l0];/" TargetMode="External"/><Relationship Id="rId6" Type="http://schemas.openxmlformats.org/officeDocument/2006/relationships/hyperlink" Target="http://[s0l2];/" TargetMode="External"/><Relationship Id="rId11" Type="http://schemas.openxmlformats.org/officeDocument/2006/relationships/hyperlink" Target="http://[s0l7];/" TargetMode="External"/><Relationship Id="rId24" Type="http://schemas.openxmlformats.org/officeDocument/2006/relationships/hyperlink" Target="http://[s0l21];/" TargetMode="External"/><Relationship Id="rId32" Type="http://schemas.openxmlformats.org/officeDocument/2006/relationships/hyperlink" Target="http://[s0l29];/" TargetMode="External"/><Relationship Id="rId5" Type="http://schemas.openxmlformats.org/officeDocument/2006/relationships/hyperlink" Target="http://[s0l1];/" TargetMode="External"/><Relationship Id="rId15" Type="http://schemas.openxmlformats.org/officeDocument/2006/relationships/hyperlink" Target="http://[s0l11];/" TargetMode="External"/><Relationship Id="rId23" Type="http://schemas.openxmlformats.org/officeDocument/2006/relationships/hyperlink" Target="http://[s0l20];/" TargetMode="External"/><Relationship Id="rId28" Type="http://schemas.openxmlformats.org/officeDocument/2006/relationships/hyperlink" Target="http://[s0l25];/" TargetMode="External"/><Relationship Id="rId10" Type="http://schemas.openxmlformats.org/officeDocument/2006/relationships/hyperlink" Target="http://[s0l6];/" TargetMode="External"/><Relationship Id="rId19" Type="http://schemas.openxmlformats.org/officeDocument/2006/relationships/hyperlink" Target="http://[s0l16];/" TargetMode="External"/><Relationship Id="rId31" Type="http://schemas.openxmlformats.org/officeDocument/2006/relationships/hyperlink" Target="http://[s0l28];/" TargetMode="External"/><Relationship Id="rId4" Type="http://schemas.openxmlformats.org/officeDocument/2006/relationships/hyperlink" Target="http://www.tdi.texas.gov/pubs/pc/rspceasy.html" TargetMode="External"/><Relationship Id="rId9" Type="http://schemas.openxmlformats.org/officeDocument/2006/relationships/hyperlink" Target="http://[s0l5];/" TargetMode="External"/><Relationship Id="rId14" Type="http://schemas.openxmlformats.org/officeDocument/2006/relationships/hyperlink" Target="http://[s0l10];/" TargetMode="External"/><Relationship Id="rId22" Type="http://schemas.openxmlformats.org/officeDocument/2006/relationships/hyperlink" Target="http://[s0l19];/" TargetMode="External"/><Relationship Id="rId27" Type="http://schemas.openxmlformats.org/officeDocument/2006/relationships/hyperlink" Target="http://[s0l24];/" TargetMode="External"/><Relationship Id="rId30" Type="http://schemas.openxmlformats.org/officeDocument/2006/relationships/hyperlink" Target="http://[s0l27];/" TargetMode="External"/><Relationship Id="rId8" Type="http://schemas.openxmlformats.org/officeDocument/2006/relationships/hyperlink" Target="http://[s0l4];/"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3.bin"/><Relationship Id="rId1" Type="http://schemas.openxmlformats.org/officeDocument/2006/relationships/hyperlink" Target="http://www.tdi.texas.gov/bulletins/2010/cc29.html" TargetMode="Externa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tdi.texas.gov/commercial/pcflxrt.html" TargetMode="External"/><Relationship Id="rId2" Type="http://schemas.openxmlformats.org/officeDocument/2006/relationships/hyperlink" Target="http://www.tdi.texas.gov/commercial/pcflxrt.html" TargetMode="External"/><Relationship Id="rId1" Type="http://schemas.openxmlformats.org/officeDocument/2006/relationships/hyperlink" Target="http://www.tdi.texas.gov/commercial/pcflxrt.html" TargetMode="External"/><Relationship Id="rId5" Type="http://schemas.openxmlformats.org/officeDocument/2006/relationships/printerSettings" Target="../printerSettings/printerSettings25.bin"/><Relationship Id="rId4" Type="http://schemas.openxmlformats.org/officeDocument/2006/relationships/hyperlink" Target="https://www.tdi.texas.gov/commercial/pcflxrt.html"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3.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2l3];/" TargetMode="External"/><Relationship Id="rId13" Type="http://schemas.openxmlformats.org/officeDocument/2006/relationships/hyperlink" Target="https://statutes.capitol.texas.gov/Docs/IN/htm/IN.1901.htm" TargetMode="External"/><Relationship Id="rId18" Type="http://schemas.openxmlformats.org/officeDocument/2006/relationships/ctrlProp" Target="../ctrlProps/ctrlProp1.xml"/><Relationship Id="rId3" Type="http://schemas.openxmlformats.org/officeDocument/2006/relationships/hyperlink" Target="http://www.tdi.texas.gov/forms/propertycas/pc374fme15rule.pdf" TargetMode="External"/><Relationship Id="rId7" Type="http://schemas.openxmlformats.org/officeDocument/2006/relationships/hyperlink" Target="http://[s2l2];/" TargetMode="External"/><Relationship Id="rId12" Type="http://schemas.openxmlformats.org/officeDocument/2006/relationships/hyperlink" Target="https://statutes.capitol.texas.gov/Docs/IN/htm/IN.2251.htm" TargetMode="External"/><Relationship Id="rId17" Type="http://schemas.openxmlformats.org/officeDocument/2006/relationships/vmlDrawing" Target="../drawings/vmlDrawing2.vml"/><Relationship Id="rId2" Type="http://schemas.openxmlformats.org/officeDocument/2006/relationships/hyperlink" Target="http://[s2l0];/" TargetMode="External"/><Relationship Id="rId16" Type="http://schemas.openxmlformats.org/officeDocument/2006/relationships/drawing" Target="../drawings/drawing2.xml"/><Relationship Id="rId1" Type="http://schemas.openxmlformats.org/officeDocument/2006/relationships/hyperlink" Target="http://texreg.sos.state.tx.us/public/readtac$ext.TacPage?sl=R&amp;app=9&amp;p_dir=&amp;p_rloc=&amp;p_tloc=&amp;p_ploc=&amp;pg=1&amp;p_tac=&amp;ti=28&amp;pt=1&amp;ch=5&amp;rl=401" TargetMode="External"/><Relationship Id="rId6" Type="http://schemas.openxmlformats.org/officeDocument/2006/relationships/hyperlink" Target="http://[s2l1];/" TargetMode="External"/><Relationship Id="rId11" Type="http://schemas.openxmlformats.org/officeDocument/2006/relationships/hyperlink" Target="http://texreg.sos.state.tx.us/public/readtac$ext.TacPage?sl=R&amp;app=9&amp;p_dir=&amp;p_rloc=&amp;p_tloc=&amp;p_ploc=&amp;pg=1&amp;p_tac=&amp;ti=28&amp;pt=1&amp;ch=21&amp;rl=1007" TargetMode="External"/><Relationship Id="rId5" Type="http://schemas.openxmlformats.org/officeDocument/2006/relationships/hyperlink" Target="http://www.tdi.texas.gov/forms/propertycas/pc375fmecsexhibit.pdf" TargetMode="External"/><Relationship Id="rId15" Type="http://schemas.openxmlformats.org/officeDocument/2006/relationships/printerSettings" Target="../printerSettings/printerSettings5.bin"/><Relationship Id="rId10" Type="http://schemas.openxmlformats.org/officeDocument/2006/relationships/hyperlink" Target="http://texreg.sos.state.tx.us/public/readtac$ext.TacPage?sl=R&amp;app=9&amp;p_dir=&amp;p_rloc=&amp;p_tloc=&amp;p_ploc=&amp;pg=1&amp;p_tac=&amp;ti=28&amp;pt=1&amp;ch=21&amp;rl=1006" TargetMode="External"/><Relationship Id="rId4" Type="http://schemas.openxmlformats.org/officeDocument/2006/relationships/hyperlink" Target="http://www.tdi.texas.gov/forms/propertycas/pc377fmetdeviation.pdf" TargetMode="External"/><Relationship Id="rId9" Type="http://schemas.openxmlformats.org/officeDocument/2006/relationships/hyperlink" Target="http://texreg.sos.state.tx.us/public/readtac$ext.TacPage?sl=R&amp;app=9&amp;p_dir=&amp;p_rloc=&amp;p_tloc=&amp;p_ploc=&amp;pg=1&amp;p_tac=&amp;ti=28&amp;pt=1&amp;ch=21&amp;rl=1004" TargetMode="External"/><Relationship Id="rId14" Type="http://schemas.openxmlformats.org/officeDocument/2006/relationships/hyperlink" Target="https://statutes.capitol.texas.gov/Docs/IN/htm/IN.1901.htm"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32231-3CAA-4CF7-9FF4-F0813DBDBCF4}">
  <sheetPr codeName="Sheet2"/>
  <dimension ref="A1:L102"/>
  <sheetViews>
    <sheetView topLeftCell="A88" zoomScale="145" zoomScaleNormal="145" workbookViewId="0">
      <selection activeCell="D99" sqref="D99"/>
    </sheetView>
  </sheetViews>
  <sheetFormatPr defaultRowHeight="14.4" x14ac:dyDescent="0.3"/>
  <sheetData>
    <row r="1" spans="1:12" x14ac:dyDescent="0.3">
      <c r="E1" t="s">
        <v>0</v>
      </c>
      <c r="I1" t="s">
        <v>1</v>
      </c>
    </row>
    <row r="2" spans="1:12" x14ac:dyDescent="0.3">
      <c r="A2" t="s">
        <v>2</v>
      </c>
      <c r="E2" t="s">
        <v>3</v>
      </c>
      <c r="I2">
        <v>-10</v>
      </c>
      <c r="J2">
        <f>1-COUNTIF(K2:N2,'Indication Checklist'!F$3)</f>
        <v>1</v>
      </c>
      <c r="K2" t="s">
        <v>4</v>
      </c>
      <c r="L2" t="s">
        <v>5</v>
      </c>
    </row>
    <row r="3" spans="1:12" x14ac:dyDescent="0.3">
      <c r="A3">
        <v>1</v>
      </c>
      <c r="E3" t="s">
        <v>6</v>
      </c>
      <c r="I3">
        <v>-11</v>
      </c>
      <c r="J3">
        <f>COUNTIF(K3:N3,'Indication Checklist'!F$3)</f>
        <v>0</v>
      </c>
      <c r="K3" t="s">
        <v>7</v>
      </c>
    </row>
    <row r="4" spans="1:12" x14ac:dyDescent="0.3">
      <c r="A4">
        <v>2</v>
      </c>
      <c r="E4" t="s">
        <v>8</v>
      </c>
      <c r="I4">
        <v>-12</v>
      </c>
      <c r="J4">
        <f>COUNTIF(K4:N4,'Indication Checklist'!F$3)</f>
        <v>0</v>
      </c>
      <c r="K4" t="s">
        <v>7</v>
      </c>
      <c r="L4" t="s">
        <v>9</v>
      </c>
    </row>
    <row r="5" spans="1:12" x14ac:dyDescent="0.3">
      <c r="A5">
        <v>3</v>
      </c>
      <c r="E5" t="s">
        <v>10</v>
      </c>
      <c r="I5">
        <v>-13</v>
      </c>
      <c r="J5">
        <f>COUNTIF(K5:N5,'Indication Checklist'!F$3)</f>
        <v>0</v>
      </c>
      <c r="K5" t="s">
        <v>11</v>
      </c>
    </row>
    <row r="6" spans="1:12" x14ac:dyDescent="0.3">
      <c r="A6">
        <v>4</v>
      </c>
      <c r="E6" t="s">
        <v>12</v>
      </c>
      <c r="I6">
        <v>-14</v>
      </c>
      <c r="J6">
        <f>COUNTIF(K6:N6,'Indication Checklist'!F$3)</f>
        <v>0</v>
      </c>
      <c r="K6" t="s">
        <v>11</v>
      </c>
    </row>
    <row r="7" spans="1:12" x14ac:dyDescent="0.3">
      <c r="A7">
        <v>5</v>
      </c>
      <c r="E7" t="s">
        <v>5</v>
      </c>
      <c r="I7">
        <v>-15</v>
      </c>
      <c r="J7">
        <f>COUNTIF(K7:N7,'Indication Checklist'!F$3)</f>
        <v>0</v>
      </c>
      <c r="K7" t="s">
        <v>11</v>
      </c>
    </row>
    <row r="8" spans="1:12" x14ac:dyDescent="0.3">
      <c r="A8">
        <v>6</v>
      </c>
      <c r="E8" t="s">
        <v>7</v>
      </c>
      <c r="I8">
        <v>-16</v>
      </c>
      <c r="J8">
        <f>COUNTIF(K8:N8,'Indication Checklist'!F$3)</f>
        <v>0</v>
      </c>
      <c r="K8" t="s">
        <v>11</v>
      </c>
    </row>
    <row r="9" spans="1:12" x14ac:dyDescent="0.3">
      <c r="A9">
        <v>7</v>
      </c>
      <c r="E9" t="s">
        <v>11</v>
      </c>
      <c r="I9">
        <v>-17</v>
      </c>
      <c r="J9">
        <f>COUNTIF(K9:N9,'Indication Checklist'!F$3)</f>
        <v>0</v>
      </c>
      <c r="K9" t="s">
        <v>11</v>
      </c>
    </row>
    <row r="10" spans="1:12" x14ac:dyDescent="0.3">
      <c r="A10">
        <v>8</v>
      </c>
      <c r="E10" t="s">
        <v>4</v>
      </c>
      <c r="I10">
        <v>-18</v>
      </c>
      <c r="J10">
        <f>COUNTIF(K10:N10,'Indication Checklist'!F$3)</f>
        <v>0</v>
      </c>
      <c r="K10" t="s">
        <v>11</v>
      </c>
    </row>
    <row r="11" spans="1:12" x14ac:dyDescent="0.3">
      <c r="A11">
        <v>9</v>
      </c>
      <c r="E11" t="s">
        <v>13</v>
      </c>
      <c r="I11">
        <v>-19</v>
      </c>
      <c r="J11">
        <f>COUNTIF(K11:N11,'Indication Checklist'!F$3)</f>
        <v>0</v>
      </c>
      <c r="K11" t="s">
        <v>12</v>
      </c>
    </row>
    <row r="12" spans="1:12" x14ac:dyDescent="0.3">
      <c r="A12">
        <v>10</v>
      </c>
      <c r="I12">
        <v>-20</v>
      </c>
      <c r="J12">
        <f>COUNTIF(K12:N12,'Indication Checklist'!F$3)</f>
        <v>0</v>
      </c>
      <c r="K12" t="s">
        <v>12</v>
      </c>
    </row>
    <row r="13" spans="1:12" x14ac:dyDescent="0.3">
      <c r="A13">
        <v>11</v>
      </c>
    </row>
    <row r="14" spans="1:12" x14ac:dyDescent="0.3">
      <c r="A14">
        <v>12</v>
      </c>
      <c r="I14">
        <v>-7</v>
      </c>
      <c r="J14">
        <f>COUNTIF(K14:N14,'Indication Checklist'!F$3)</f>
        <v>0</v>
      </c>
      <c r="K14" t="s">
        <v>11</v>
      </c>
      <c r="L14" t="s">
        <v>7</v>
      </c>
    </row>
    <row r="15" spans="1:12" x14ac:dyDescent="0.3">
      <c r="A15" t="s">
        <v>13</v>
      </c>
      <c r="I15" t="s">
        <v>14</v>
      </c>
      <c r="J15">
        <f>COUNTIF(K15:N15,'Indication Checklist'!F$3)</f>
        <v>0</v>
      </c>
      <c r="K15" t="s">
        <v>11</v>
      </c>
      <c r="L15" t="s">
        <v>7</v>
      </c>
    </row>
    <row r="16" spans="1:12" x14ac:dyDescent="0.3">
      <c r="A16" t="s">
        <v>15</v>
      </c>
      <c r="I16" t="s">
        <v>16</v>
      </c>
      <c r="J16">
        <f>COUNTIF(K16:N16,'Indication Checklist'!F$3)</f>
        <v>0</v>
      </c>
      <c r="K16" t="s">
        <v>11</v>
      </c>
      <c r="L16" t="s">
        <v>7</v>
      </c>
    </row>
    <row r="17" spans="1:12" x14ac:dyDescent="0.3">
      <c r="I17" t="s">
        <v>17</v>
      </c>
      <c r="J17">
        <f>COUNTIF(K17:N17,'Indication Checklist'!F$3)</f>
        <v>0</v>
      </c>
      <c r="K17" t="s">
        <v>11</v>
      </c>
      <c r="L17" t="s">
        <v>7</v>
      </c>
    </row>
    <row r="18" spans="1:12" x14ac:dyDescent="0.3">
      <c r="E18" t="s">
        <v>18</v>
      </c>
    </row>
    <row r="19" spans="1:12" x14ac:dyDescent="0.3">
      <c r="A19" t="s">
        <v>19</v>
      </c>
      <c r="E19" t="s">
        <v>20</v>
      </c>
    </row>
    <row r="20" spans="1:12" x14ac:dyDescent="0.3">
      <c r="A20">
        <v>1</v>
      </c>
    </row>
    <row r="21" spans="1:12" x14ac:dyDescent="0.3">
      <c r="A21">
        <v>2</v>
      </c>
    </row>
    <row r="22" spans="1:12" x14ac:dyDescent="0.3">
      <c r="A22">
        <v>3</v>
      </c>
    </row>
    <row r="23" spans="1:12" x14ac:dyDescent="0.3">
      <c r="A23">
        <v>4</v>
      </c>
    </row>
    <row r="24" spans="1:12" x14ac:dyDescent="0.3">
      <c r="A24">
        <v>5</v>
      </c>
    </row>
    <row r="25" spans="1:12" x14ac:dyDescent="0.3">
      <c r="A25">
        <v>6</v>
      </c>
    </row>
    <row r="26" spans="1:12" x14ac:dyDescent="0.3">
      <c r="A26">
        <v>7</v>
      </c>
    </row>
    <row r="27" spans="1:12" x14ac:dyDescent="0.3">
      <c r="A27">
        <v>8</v>
      </c>
    </row>
    <row r="28" spans="1:12" x14ac:dyDescent="0.3">
      <c r="A28">
        <v>9</v>
      </c>
    </row>
    <row r="29" spans="1:12" x14ac:dyDescent="0.3">
      <c r="A29">
        <v>10</v>
      </c>
    </row>
    <row r="30" spans="1:12" x14ac:dyDescent="0.3">
      <c r="A30">
        <v>11</v>
      </c>
    </row>
    <row r="31" spans="1:12" x14ac:dyDescent="0.3">
      <c r="A31">
        <v>12</v>
      </c>
    </row>
    <row r="32" spans="1:12" x14ac:dyDescent="0.3">
      <c r="A32" t="s">
        <v>13</v>
      </c>
    </row>
    <row r="33" spans="1:1" x14ac:dyDescent="0.3">
      <c r="A33" t="s">
        <v>15</v>
      </c>
    </row>
    <row r="35" spans="1:1" x14ac:dyDescent="0.3">
      <c r="A35" t="s">
        <v>21</v>
      </c>
    </row>
    <row r="36" spans="1:1" x14ac:dyDescent="0.3">
      <c r="A36" t="s">
        <v>22</v>
      </c>
    </row>
    <row r="37" spans="1:1" x14ac:dyDescent="0.3">
      <c r="A37" t="s">
        <v>23</v>
      </c>
    </row>
    <row r="39" spans="1:1" x14ac:dyDescent="0.3">
      <c r="A39" t="s">
        <v>24</v>
      </c>
    </row>
    <row r="40" spans="1:1" x14ac:dyDescent="0.3">
      <c r="A40" t="s">
        <v>25</v>
      </c>
    </row>
    <row r="41" spans="1:1" x14ac:dyDescent="0.3">
      <c r="A41" t="s">
        <v>26</v>
      </c>
    </row>
    <row r="44" spans="1:1" x14ac:dyDescent="0.3">
      <c r="A44" t="s">
        <v>27</v>
      </c>
    </row>
    <row r="45" spans="1:1" x14ac:dyDescent="0.3">
      <c r="A45" t="s">
        <v>28</v>
      </c>
    </row>
    <row r="48" spans="1:1" x14ac:dyDescent="0.3">
      <c r="A48" t="s">
        <v>29</v>
      </c>
    </row>
    <row r="49" spans="1:1" x14ac:dyDescent="0.3">
      <c r="A49" t="s">
        <v>30</v>
      </c>
    </row>
    <row r="50" spans="1:1" x14ac:dyDescent="0.3">
      <c r="A50" t="s">
        <v>31</v>
      </c>
    </row>
    <row r="51" spans="1:1" x14ac:dyDescent="0.3">
      <c r="A51" t="s">
        <v>32</v>
      </c>
    </row>
    <row r="54" spans="1:1" x14ac:dyDescent="0.3">
      <c r="A54" t="s">
        <v>33</v>
      </c>
    </row>
    <row r="55" spans="1:1" x14ac:dyDescent="0.3">
      <c r="A55" t="s">
        <v>34</v>
      </c>
    </row>
    <row r="56" spans="1:1" x14ac:dyDescent="0.3">
      <c r="A56" t="s">
        <v>29</v>
      </c>
    </row>
    <row r="57" spans="1:1" x14ac:dyDescent="0.3">
      <c r="A57" t="s">
        <v>13</v>
      </c>
    </row>
    <row r="58" spans="1:1" x14ac:dyDescent="0.3">
      <c r="A58" t="s">
        <v>32</v>
      </c>
    </row>
    <row r="62" spans="1:1" x14ac:dyDescent="0.3">
      <c r="A62" t="s">
        <v>35</v>
      </c>
    </row>
    <row r="63" spans="1:1" x14ac:dyDescent="0.3">
      <c r="A63" t="s">
        <v>36</v>
      </c>
    </row>
    <row r="64" spans="1:1" x14ac:dyDescent="0.3">
      <c r="A64" t="s">
        <v>37</v>
      </c>
    </row>
    <row r="67" spans="1:1" x14ac:dyDescent="0.3">
      <c r="A67" t="s">
        <v>38</v>
      </c>
    </row>
    <row r="68" spans="1:1" x14ac:dyDescent="0.3">
      <c r="A68" t="s">
        <v>39</v>
      </c>
    </row>
    <row r="72" spans="1:1" x14ac:dyDescent="0.3">
      <c r="A72" t="s">
        <v>40</v>
      </c>
    </row>
    <row r="73" spans="1:1" x14ac:dyDescent="0.3">
      <c r="A73">
        <v>3</v>
      </c>
    </row>
    <row r="74" spans="1:1" x14ac:dyDescent="0.3">
      <c r="A74">
        <v>4</v>
      </c>
    </row>
    <row r="75" spans="1:1" x14ac:dyDescent="0.3">
      <c r="A75">
        <v>5</v>
      </c>
    </row>
    <row r="76" spans="1:1" x14ac:dyDescent="0.3">
      <c r="A76">
        <v>6</v>
      </c>
    </row>
    <row r="77" spans="1:1" x14ac:dyDescent="0.3">
      <c r="A77">
        <v>7</v>
      </c>
    </row>
    <row r="78" spans="1:1" x14ac:dyDescent="0.3">
      <c r="A78">
        <v>8</v>
      </c>
    </row>
    <row r="79" spans="1:1" x14ac:dyDescent="0.3">
      <c r="A79">
        <v>9</v>
      </c>
    </row>
    <row r="80" spans="1:1" x14ac:dyDescent="0.3">
      <c r="A80">
        <v>10</v>
      </c>
    </row>
    <row r="81" spans="1:2" x14ac:dyDescent="0.3">
      <c r="A81">
        <v>11</v>
      </c>
    </row>
    <row r="82" spans="1:2" x14ac:dyDescent="0.3">
      <c r="A82">
        <v>12</v>
      </c>
    </row>
    <row r="83" spans="1:2" x14ac:dyDescent="0.3">
      <c r="A83">
        <v>13</v>
      </c>
    </row>
    <row r="84" spans="1:2" x14ac:dyDescent="0.3">
      <c r="A84">
        <v>14</v>
      </c>
    </row>
    <row r="85" spans="1:2" x14ac:dyDescent="0.3">
      <c r="A85">
        <v>15</v>
      </c>
    </row>
    <row r="86" spans="1:2" x14ac:dyDescent="0.3">
      <c r="A86">
        <v>16</v>
      </c>
    </row>
    <row r="87" spans="1:2" x14ac:dyDescent="0.3">
      <c r="A87">
        <v>17</v>
      </c>
    </row>
    <row r="88" spans="1:2" x14ac:dyDescent="0.3">
      <c r="A88">
        <v>18</v>
      </c>
    </row>
    <row r="89" spans="1:2" x14ac:dyDescent="0.3">
      <c r="A89">
        <v>19</v>
      </c>
    </row>
    <row r="90" spans="1:2" x14ac:dyDescent="0.3">
      <c r="A90">
        <v>20</v>
      </c>
    </row>
    <row r="93" spans="1:2" x14ac:dyDescent="0.3">
      <c r="A93" t="s">
        <v>41</v>
      </c>
    </row>
    <row r="94" spans="1:2" x14ac:dyDescent="0.3">
      <c r="A94" t="s">
        <v>42</v>
      </c>
      <c r="B94">
        <v>1</v>
      </c>
    </row>
    <row r="95" spans="1:2" x14ac:dyDescent="0.3">
      <c r="A95" t="s">
        <v>43</v>
      </c>
      <c r="B95">
        <v>1000</v>
      </c>
    </row>
    <row r="99" spans="1:1" ht="19.2" x14ac:dyDescent="0.45">
      <c r="A99" s="1103" t="s">
        <v>35</v>
      </c>
    </row>
    <row r="100" spans="1:1" ht="19.2" x14ac:dyDescent="0.45">
      <c r="A100" s="1103" t="s">
        <v>44</v>
      </c>
    </row>
    <row r="101" spans="1:1" ht="19.2" x14ac:dyDescent="0.45">
      <c r="A101" s="257" t="s">
        <v>45</v>
      </c>
    </row>
    <row r="102" spans="1:1" ht="19.2" x14ac:dyDescent="0.45">
      <c r="A102" s="257" t="s">
        <v>13</v>
      </c>
    </row>
  </sheetData>
  <sortState xmlns:xlrd2="http://schemas.microsoft.com/office/spreadsheetml/2017/richdata2" ref="E2:E20">
    <sortCondition ref="E2"/>
  </sortState>
  <pageMargins left="0.7" right="0.7" top="0.75" bottom="0.75" header="0.3" footer="0.3"/>
  <pageSetup orientation="portrait" horizontalDpi="1200" verticalDpi="120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560A9-4467-449F-A307-2F88BC9E0489}">
  <sheetPr codeName="Sheet26"/>
  <dimension ref="A1:L72"/>
  <sheetViews>
    <sheetView showGridLines="0" zoomScaleNormal="100" zoomScaleSheetLayoutView="85" workbookViewId="0"/>
  </sheetViews>
  <sheetFormatPr defaultColWidth="9.109375" defaultRowHeight="19.2" x14ac:dyDescent="0.45"/>
  <cols>
    <col min="1" max="1" width="6.44140625" style="257" customWidth="1"/>
    <col min="2" max="2" width="5.5546875" style="257" customWidth="1"/>
    <col min="3" max="3" width="2.5546875" style="257" bestFit="1" customWidth="1"/>
    <col min="4" max="4" width="44.88671875" style="257" customWidth="1"/>
    <col min="5" max="5" width="14.109375" style="257" customWidth="1"/>
    <col min="6" max="6" width="7.5546875" style="257" bestFit="1" customWidth="1"/>
    <col min="7" max="7" width="13.33203125" style="257" customWidth="1"/>
    <col min="8" max="8" width="7.5546875" style="257" bestFit="1" customWidth="1"/>
    <col min="9" max="9" width="13.33203125" style="257" customWidth="1"/>
    <col min="10" max="10" width="7" style="257" customWidth="1"/>
    <col min="11" max="11" width="15.33203125" style="257" customWidth="1"/>
    <col min="12" max="13" width="8.88671875" style="257" customWidth="1"/>
    <col min="14" max="16384" width="9.109375" style="257"/>
  </cols>
  <sheetData>
    <row r="1" spans="1:12" x14ac:dyDescent="0.45">
      <c r="A1" s="1055" t="str">
        <f>'General Information'!$A$1</f>
        <v>Texas Department of Insurance</v>
      </c>
      <c r="C1" s="373"/>
    </row>
    <row r="2" spans="1:12" x14ac:dyDescent="0.45">
      <c r="A2" s="1055" t="str">
        <f>'General Information'!$A$2</f>
        <v>Property and Casualty Rate Filing Exhibits</v>
      </c>
      <c r="C2" s="373"/>
      <c r="I2" s="160" t="s">
        <v>97</v>
      </c>
      <c r="J2" s="1018" t="str">
        <f>'General Information'!$E$2</f>
        <v>Fill out Gen Info</v>
      </c>
    </row>
    <row r="3" spans="1:12" x14ac:dyDescent="0.45">
      <c r="A3" s="1055" t="str">
        <f>'General Information'!$A$3</f>
        <v>Rate Filing Template (2025 Edition)</v>
      </c>
      <c r="C3" s="373"/>
      <c r="I3" s="160" t="s">
        <v>98</v>
      </c>
      <c r="J3" s="1018" t="str">
        <f>'General Information'!$E$3</f>
        <v>Fill out Gen Info</v>
      </c>
    </row>
    <row r="4" spans="1:12" x14ac:dyDescent="0.45">
      <c r="A4" s="374"/>
      <c r="C4" s="374"/>
    </row>
    <row r="5" spans="1:12" x14ac:dyDescent="0.45">
      <c r="A5" s="1221" t="s">
        <v>233</v>
      </c>
      <c r="B5" s="1199"/>
      <c r="C5" s="1199"/>
      <c r="D5" s="1199"/>
      <c r="E5" s="1199"/>
      <c r="F5" s="1199"/>
      <c r="G5" s="1199"/>
      <c r="H5" s="1199"/>
      <c r="I5" s="1199"/>
      <c r="J5" s="1199"/>
      <c r="K5" s="1199"/>
    </row>
    <row r="7" spans="1:12" x14ac:dyDescent="0.45">
      <c r="E7" s="1223" t="s">
        <v>22</v>
      </c>
      <c r="F7" s="1224"/>
      <c r="G7" s="1224"/>
      <c r="H7" s="1224"/>
      <c r="I7" s="1224"/>
      <c r="J7" s="1224"/>
      <c r="K7" s="1225"/>
      <c r="L7" s="375"/>
    </row>
    <row r="8" spans="1:12" s="376" customFormat="1" x14ac:dyDescent="0.45">
      <c r="B8" s="377"/>
      <c r="C8" s="377"/>
      <c r="E8" s="1226" t="str">
        <f>'D-Historical Experience'!A13</f>
        <v>20__</v>
      </c>
      <c r="F8" s="1228"/>
      <c r="G8" s="1226" t="str">
        <f>'D-Historical Experience'!A14</f>
        <v>20__</v>
      </c>
      <c r="H8" s="1228"/>
      <c r="I8" s="1226" t="str">
        <f>'D-Historical Experience'!A15</f>
        <v>20__</v>
      </c>
      <c r="J8" s="1227"/>
      <c r="K8" s="851" t="s">
        <v>234</v>
      </c>
    </row>
    <row r="9" spans="1:12" s="376" customFormat="1" x14ac:dyDescent="0.45">
      <c r="A9" s="378" t="s">
        <v>222</v>
      </c>
      <c r="B9" s="379"/>
      <c r="C9" s="379"/>
      <c r="D9" s="379"/>
      <c r="E9" s="380"/>
      <c r="F9" s="380"/>
      <c r="G9" s="380"/>
      <c r="H9" s="380"/>
      <c r="I9" s="381"/>
      <c r="J9" s="382"/>
      <c r="K9" s="852"/>
    </row>
    <row r="10" spans="1:12" s="391" customFormat="1" x14ac:dyDescent="0.45">
      <c r="A10" s="376"/>
      <c r="B10" s="383">
        <v>-1</v>
      </c>
      <c r="C10" s="384" t="s">
        <v>223</v>
      </c>
      <c r="D10" s="385"/>
      <c r="E10" s="386">
        <f>'D-Historical Experience'!B13</f>
        <v>0</v>
      </c>
      <c r="F10" s="387"/>
      <c r="G10" s="388">
        <f>'D-Historical Experience'!B14</f>
        <v>0</v>
      </c>
      <c r="H10" s="389"/>
      <c r="I10" s="390">
        <f>'D-Historical Experience'!B15</f>
        <v>0</v>
      </c>
      <c r="J10" s="841"/>
      <c r="K10" s="853"/>
    </row>
    <row r="11" spans="1:12" s="391" customFormat="1" x14ac:dyDescent="0.45">
      <c r="A11" s="376"/>
      <c r="B11" s="392">
        <f>B10-1</f>
        <v>-2</v>
      </c>
      <c r="C11" s="393" t="s">
        <v>224</v>
      </c>
      <c r="D11" s="394"/>
      <c r="E11" s="395">
        <f>'D-Historical Experience'!C13</f>
        <v>0</v>
      </c>
      <c r="F11" s="396">
        <f>IFERROR(E11/E$10,0)</f>
        <v>0</v>
      </c>
      <c r="G11" s="397">
        <f>'D-Historical Experience'!C14</f>
        <v>0</v>
      </c>
      <c r="H11" s="396">
        <f>IFERROR(G11/G$10,0)</f>
        <v>0</v>
      </c>
      <c r="I11" s="398">
        <f>'D-Historical Experience'!C15</f>
        <v>0</v>
      </c>
      <c r="J11" s="842">
        <f>IFERROR(I11/I$10,0)</f>
        <v>0</v>
      </c>
      <c r="K11" s="854">
        <f>IFERROR((F11*$E$10+H11*$G$10+J11*$I$10)/SUM($E$10,$G$10,$I$10),0)</f>
        <v>0</v>
      </c>
    </row>
    <row r="12" spans="1:12" s="391" customFormat="1" x14ac:dyDescent="0.45">
      <c r="A12" s="376"/>
      <c r="B12" s="392">
        <f t="shared" ref="B12:B13" si="0">B11-1</f>
        <v>-3</v>
      </c>
      <c r="C12" s="393" t="s">
        <v>235</v>
      </c>
      <c r="D12" s="394"/>
      <c r="E12" s="399"/>
      <c r="F12" s="396">
        <f>IFERROR(E12/$E$10,0)</f>
        <v>0</v>
      </c>
      <c r="G12" s="400"/>
      <c r="H12" s="396">
        <f>IFERROR(G12/G$10,0)</f>
        <v>0</v>
      </c>
      <c r="I12" s="401"/>
      <c r="J12" s="842">
        <f>IFERROR(I12/I$10,0)</f>
        <v>0</v>
      </c>
      <c r="K12" s="854">
        <f>IFERROR((F12*$E$10+H12*$G$10+J12*$I$10)/SUM($E$10,$G$10,$I$10),0)</f>
        <v>0</v>
      </c>
    </row>
    <row r="13" spans="1:12" s="391" customFormat="1" x14ac:dyDescent="0.45">
      <c r="A13" s="376"/>
      <c r="B13" s="402">
        <f t="shared" si="0"/>
        <v>-4</v>
      </c>
      <c r="C13" s="403" t="s">
        <v>236</v>
      </c>
      <c r="D13" s="404"/>
      <c r="E13" s="405"/>
      <c r="F13" s="396">
        <f t="shared" ref="F13" si="1">IFERROR(E13/$E$10,0)</f>
        <v>0</v>
      </c>
      <c r="G13" s="406"/>
      <c r="H13" s="396">
        <f>IFERROR(G13/G$10,0)</f>
        <v>0</v>
      </c>
      <c r="I13" s="407"/>
      <c r="J13" s="842">
        <f>IFERROR(I13/I$10,0)</f>
        <v>0</v>
      </c>
      <c r="K13" s="854">
        <f>IFERROR((F13*$E$10+H13*$G$10+J13*$I$10)/SUM($E$10,$G$10,$I$10),0)</f>
        <v>0</v>
      </c>
    </row>
    <row r="14" spans="1:12" s="391" customFormat="1" x14ac:dyDescent="0.45">
      <c r="A14" s="376"/>
      <c r="B14" s="408">
        <f>B13-1</f>
        <v>-5</v>
      </c>
      <c r="C14" s="409" t="str">
        <f>IF('General Information'!B18='Drop Down Lists and Formatting'!A40,"Direct Losses Incurred","Direct Losses &amp; DCCE Incurred")</f>
        <v>Direct Losses &amp; DCCE Incurred</v>
      </c>
      <c r="D14" s="410"/>
      <c r="E14" s="411"/>
      <c r="F14" s="412"/>
      <c r="G14" s="413"/>
      <c r="H14" s="414"/>
      <c r="I14" s="401"/>
      <c r="J14" s="843"/>
      <c r="K14" s="855"/>
    </row>
    <row r="15" spans="1:12" s="391" customFormat="1" x14ac:dyDescent="0.45">
      <c r="A15" s="376"/>
      <c r="B15" s="402">
        <f>B14-1</f>
        <v>-6</v>
      </c>
      <c r="C15" s="415" t="str">
        <f>IF('General Information'!B18='Drop Down Lists and Formatting'!A40,"DCCE Incurred","Not Applicable - Disregard")</f>
        <v>Not Applicable - Disregard</v>
      </c>
      <c r="D15" s="416"/>
      <c r="E15" s="405"/>
      <c r="F15" s="417">
        <f>IFERROR(E15/E14,0)</f>
        <v>0</v>
      </c>
      <c r="G15" s="406"/>
      <c r="H15" s="417">
        <f>IFERROR(G15/G14,0)</f>
        <v>0</v>
      </c>
      <c r="I15" s="418"/>
      <c r="J15" s="844">
        <f>IFERROR(I15/I14,0)</f>
        <v>0</v>
      </c>
      <c r="K15" s="854">
        <f>IFERROR((F15*$E$14+H15*$G$14+J15*$I$14)/SUM($E$14,$G$14,$I$14),0)</f>
        <v>0</v>
      </c>
    </row>
    <row r="16" spans="1:12" s="391" customFormat="1" x14ac:dyDescent="0.45">
      <c r="A16" s="378" t="s">
        <v>228</v>
      </c>
      <c r="B16" s="379"/>
      <c r="C16" s="379"/>
      <c r="D16" s="379"/>
      <c r="E16" s="419"/>
      <c r="F16" s="419"/>
      <c r="G16" s="419"/>
      <c r="H16" s="419"/>
      <c r="I16" s="420"/>
      <c r="J16" s="845"/>
      <c r="K16" s="856"/>
    </row>
    <row r="17" spans="1:11" s="391" customFormat="1" x14ac:dyDescent="0.45">
      <c r="A17" s="376"/>
      <c r="B17" s="408">
        <f>B15-1</f>
        <v>-7</v>
      </c>
      <c r="C17" s="421" t="s">
        <v>223</v>
      </c>
      <c r="D17" s="422"/>
      <c r="E17" s="423">
        <f>'D-Historical Experience'!B23</f>
        <v>0</v>
      </c>
      <c r="F17" s="424"/>
      <c r="G17" s="425">
        <f>'D-Historical Experience'!B24</f>
        <v>0</v>
      </c>
      <c r="H17" s="426"/>
      <c r="I17" s="427">
        <f>'D-Historical Experience'!B25</f>
        <v>0</v>
      </c>
      <c r="J17" s="846"/>
      <c r="K17" s="857"/>
    </row>
    <row r="18" spans="1:11" s="391" customFormat="1" x14ac:dyDescent="0.45">
      <c r="A18" s="376"/>
      <c r="B18" s="392">
        <f>B17-1</f>
        <v>-8</v>
      </c>
      <c r="C18" s="393" t="s">
        <v>224</v>
      </c>
      <c r="D18" s="394"/>
      <c r="E18" s="395">
        <f>'D-Historical Experience'!C23</f>
        <v>0</v>
      </c>
      <c r="F18" s="396">
        <f>IFERROR(E18/E$17,0)</f>
        <v>0</v>
      </c>
      <c r="G18" s="397">
        <f>'D-Historical Experience'!C24</f>
        <v>0</v>
      </c>
      <c r="H18" s="396">
        <f>IFERROR(G18/G$17,0)</f>
        <v>0</v>
      </c>
      <c r="I18" s="428">
        <f>'D-Historical Experience'!C25</f>
        <v>0</v>
      </c>
      <c r="J18" s="842">
        <f>IFERROR(I18/I$17,0)</f>
        <v>0</v>
      </c>
      <c r="K18" s="854">
        <f>IFERROR((F18*$E$17+H18*$G$17+J18*$I$17)/SUM($E$17,$G$17,$I$17),0)</f>
        <v>0</v>
      </c>
    </row>
    <row r="19" spans="1:11" s="391" customFormat="1" ht="19.2" customHeight="1" x14ac:dyDescent="0.45">
      <c r="A19" s="376"/>
      <c r="B19" s="392">
        <f t="shared" ref="B19:B20" si="2">B18-1</f>
        <v>-9</v>
      </c>
      <c r="C19" s="1229" t="s">
        <v>235</v>
      </c>
      <c r="D19" s="1230"/>
      <c r="E19" s="399"/>
      <c r="F19" s="396">
        <f>IFERROR(E19/E$17,0)</f>
        <v>0</v>
      </c>
      <c r="G19" s="400"/>
      <c r="H19" s="396">
        <f>IFERROR(G19/G$17,0)</f>
        <v>0</v>
      </c>
      <c r="I19" s="429"/>
      <c r="J19" s="842">
        <f>IFERROR(I19/I$17,0)</f>
        <v>0</v>
      </c>
      <c r="K19" s="854">
        <f>IFERROR((F19*$E$17+H19*$G$17+J19*$I$17)/SUM($E$17,$G$17,$I$17),0)</f>
        <v>0</v>
      </c>
    </row>
    <row r="20" spans="1:11" s="391" customFormat="1" x14ac:dyDescent="0.45">
      <c r="A20" s="376"/>
      <c r="B20" s="392">
        <f t="shared" si="2"/>
        <v>-10</v>
      </c>
      <c r="C20" s="430" t="s">
        <v>237</v>
      </c>
      <c r="D20" s="431"/>
      <c r="E20" s="432"/>
      <c r="F20" s="433"/>
      <c r="G20" s="434"/>
      <c r="H20" s="435"/>
      <c r="I20" s="436"/>
      <c r="J20" s="847"/>
      <c r="K20" s="858"/>
    </row>
    <row r="21" spans="1:11" s="391" customFormat="1" x14ac:dyDescent="0.45">
      <c r="A21" s="376"/>
      <c r="B21" s="392"/>
      <c r="C21" s="437" t="s">
        <v>238</v>
      </c>
      <c r="D21" s="394" t="s">
        <v>239</v>
      </c>
      <c r="E21" s="399"/>
      <c r="F21" s="438"/>
      <c r="G21" s="400"/>
      <c r="H21" s="439"/>
      <c r="I21" s="436"/>
      <c r="J21" s="848"/>
      <c r="K21" s="859"/>
    </row>
    <row r="22" spans="1:11" s="391" customFormat="1" ht="38.4" x14ac:dyDescent="0.45">
      <c r="A22" s="376"/>
      <c r="B22" s="392"/>
      <c r="C22" s="481" t="s">
        <v>240</v>
      </c>
      <c r="D22" s="480" t="s">
        <v>241</v>
      </c>
      <c r="E22" s="395">
        <f>E20-E21</f>
        <v>0</v>
      </c>
      <c r="F22" s="396">
        <f>IFERROR(E22/E$17,0)</f>
        <v>0</v>
      </c>
      <c r="G22" s="397">
        <f t="shared" ref="G22:I22" si="3">G20-G21</f>
        <v>0</v>
      </c>
      <c r="H22" s="396">
        <f>IFERROR(G22/G$17,0)</f>
        <v>0</v>
      </c>
      <c r="I22" s="428">
        <f t="shared" si="3"/>
        <v>0</v>
      </c>
      <c r="J22" s="842">
        <f>IFERROR(I22/I$17,0)</f>
        <v>0</v>
      </c>
      <c r="K22" s="854">
        <f t="shared" ref="K22:K30" si="4">IFERROR((F22*$E$17+H22*$G$17+J22*$I$17)/SUM($E$17,$G$17,$I$17),0)</f>
        <v>0</v>
      </c>
    </row>
    <row r="23" spans="1:11" s="391" customFormat="1" x14ac:dyDescent="0.45">
      <c r="A23" s="376"/>
      <c r="B23" s="392">
        <f>B20-1</f>
        <v>-11</v>
      </c>
      <c r="C23" s="440" t="s">
        <v>242</v>
      </c>
      <c r="D23" s="441"/>
      <c r="E23" s="399"/>
      <c r="F23" s="396">
        <f>IFERROR(E23/E$17,0)</f>
        <v>0</v>
      </c>
      <c r="G23" s="442"/>
      <c r="H23" s="443">
        <f>IFERROR((G23-G31)/G17,0)</f>
        <v>0</v>
      </c>
      <c r="I23" s="436"/>
      <c r="J23" s="849">
        <f>IFERROR((I23-I31)/I17,0)</f>
        <v>0</v>
      </c>
      <c r="K23" s="854">
        <f t="shared" si="4"/>
        <v>0</v>
      </c>
    </row>
    <row r="24" spans="1:11" s="391" customFormat="1" x14ac:dyDescent="0.45">
      <c r="A24" s="376"/>
      <c r="B24" s="392"/>
      <c r="C24" s="444" t="s">
        <v>238</v>
      </c>
      <c r="D24" s="479" t="s">
        <v>243</v>
      </c>
      <c r="E24" s="399"/>
      <c r="F24" s="396">
        <f>IFERROR(E24/E$17,0)</f>
        <v>0</v>
      </c>
      <c r="G24" s="442"/>
      <c r="H24" s="396">
        <f>IFERROR(G24/G$17,0)</f>
        <v>0</v>
      </c>
      <c r="I24" s="436"/>
      <c r="J24" s="842">
        <f>IFERROR(I24/I$17,0)</f>
        <v>0</v>
      </c>
      <c r="K24" s="854">
        <f t="shared" si="4"/>
        <v>0</v>
      </c>
    </row>
    <row r="25" spans="1:11" s="391" customFormat="1" x14ac:dyDescent="0.45">
      <c r="A25" s="376"/>
      <c r="B25" s="392"/>
      <c r="C25" s="444" t="s">
        <v>240</v>
      </c>
      <c r="D25" s="445" t="s">
        <v>244</v>
      </c>
      <c r="E25" s="399"/>
      <c r="F25" s="396">
        <f t="shared" ref="F25:F30" si="5">IFERROR(E25/E$17,0)</f>
        <v>0</v>
      </c>
      <c r="G25" s="442"/>
      <c r="H25" s="396">
        <f t="shared" ref="H25:H30" si="6">IFERROR(G25/G$17,0)</f>
        <v>0</v>
      </c>
      <c r="I25" s="436"/>
      <c r="J25" s="842">
        <f t="shared" ref="J25:J30" si="7">IFERROR(I25/I$17,0)</f>
        <v>0</v>
      </c>
      <c r="K25" s="854">
        <f t="shared" si="4"/>
        <v>0</v>
      </c>
    </row>
    <row r="26" spans="1:11" s="376" customFormat="1" ht="57.6" x14ac:dyDescent="0.45">
      <c r="B26" s="392"/>
      <c r="C26" s="444" t="s">
        <v>245</v>
      </c>
      <c r="D26" s="446" t="s">
        <v>246</v>
      </c>
      <c r="E26" s="399"/>
      <c r="F26" s="396">
        <f t="shared" si="5"/>
        <v>0</v>
      </c>
      <c r="G26" s="442"/>
      <c r="H26" s="396">
        <f t="shared" si="6"/>
        <v>0</v>
      </c>
      <c r="I26" s="436"/>
      <c r="J26" s="842">
        <f t="shared" si="7"/>
        <v>0</v>
      </c>
      <c r="K26" s="854">
        <f t="shared" si="4"/>
        <v>0</v>
      </c>
    </row>
    <row r="27" spans="1:11" ht="38.4" x14ac:dyDescent="0.45">
      <c r="B27" s="447"/>
      <c r="C27" s="444" t="s">
        <v>247</v>
      </c>
      <c r="D27" s="448" t="s">
        <v>248</v>
      </c>
      <c r="E27" s="449"/>
      <c r="F27" s="396">
        <f t="shared" si="5"/>
        <v>0</v>
      </c>
      <c r="G27" s="442"/>
      <c r="H27" s="396">
        <f t="shared" si="6"/>
        <v>0</v>
      </c>
      <c r="I27" s="436"/>
      <c r="J27" s="842">
        <f t="shared" si="7"/>
        <v>0</v>
      </c>
      <c r="K27" s="854">
        <f t="shared" si="4"/>
        <v>0</v>
      </c>
    </row>
    <row r="28" spans="1:11" ht="38.4" x14ac:dyDescent="0.45">
      <c r="B28" s="447"/>
      <c r="C28" s="444" t="s">
        <v>249</v>
      </c>
      <c r="D28" s="448" t="s">
        <v>250</v>
      </c>
      <c r="E28" s="449"/>
      <c r="F28" s="396">
        <f t="shared" si="5"/>
        <v>0</v>
      </c>
      <c r="G28" s="442"/>
      <c r="H28" s="396">
        <f t="shared" si="6"/>
        <v>0</v>
      </c>
      <c r="I28" s="436"/>
      <c r="J28" s="842">
        <f t="shared" si="7"/>
        <v>0</v>
      </c>
      <c r="K28" s="854">
        <f t="shared" si="4"/>
        <v>0</v>
      </c>
    </row>
    <row r="29" spans="1:11" ht="38.4" x14ac:dyDescent="0.45">
      <c r="B29" s="447"/>
      <c r="C29" s="444" t="s">
        <v>251</v>
      </c>
      <c r="D29" s="448" t="s">
        <v>252</v>
      </c>
      <c r="E29" s="449"/>
      <c r="F29" s="396">
        <f t="shared" si="5"/>
        <v>0</v>
      </c>
      <c r="G29" s="442"/>
      <c r="H29" s="396">
        <f t="shared" si="6"/>
        <v>0</v>
      </c>
      <c r="I29" s="436"/>
      <c r="J29" s="842">
        <f t="shared" si="7"/>
        <v>0</v>
      </c>
      <c r="K29" s="854">
        <f t="shared" si="4"/>
        <v>0</v>
      </c>
    </row>
    <row r="30" spans="1:11" ht="38.4" x14ac:dyDescent="0.45">
      <c r="B30" s="447"/>
      <c r="C30" s="444" t="s">
        <v>253</v>
      </c>
      <c r="D30" s="448" t="s">
        <v>254</v>
      </c>
      <c r="E30" s="449"/>
      <c r="F30" s="396">
        <f t="shared" si="5"/>
        <v>0</v>
      </c>
      <c r="G30" s="442"/>
      <c r="H30" s="396">
        <f t="shared" si="6"/>
        <v>0</v>
      </c>
      <c r="I30" s="436"/>
      <c r="J30" s="842">
        <f t="shared" si="7"/>
        <v>0</v>
      </c>
      <c r="K30" s="854">
        <f t="shared" si="4"/>
        <v>0</v>
      </c>
    </row>
    <row r="31" spans="1:11" x14ac:dyDescent="0.45">
      <c r="B31" s="447"/>
      <c r="C31" s="444" t="s">
        <v>255</v>
      </c>
      <c r="D31" s="450" t="s">
        <v>256</v>
      </c>
      <c r="E31" s="451">
        <f>SUM(E25:E30)</f>
        <v>0</v>
      </c>
      <c r="F31" s="396">
        <f>IFERROR(E31/E$17,0)</f>
        <v>0</v>
      </c>
      <c r="G31" s="452">
        <f>SUM(G25:G30)</f>
        <v>0</v>
      </c>
      <c r="H31" s="396">
        <f>IFERROR(G31/G$17,0)</f>
        <v>0</v>
      </c>
      <c r="I31" s="453">
        <f>SUM(I25:I30)</f>
        <v>0</v>
      </c>
      <c r="J31" s="842">
        <f>IFERROR(I31/I$17,0)</f>
        <v>0</v>
      </c>
      <c r="K31" s="860"/>
    </row>
    <row r="32" spans="1:11" x14ac:dyDescent="0.45">
      <c r="B32" s="447"/>
      <c r="C32" s="444" t="s">
        <v>257</v>
      </c>
      <c r="D32" s="450" t="s">
        <v>258</v>
      </c>
      <c r="E32" s="451">
        <f>E23-E24-E31</f>
        <v>0</v>
      </c>
      <c r="F32" s="396">
        <f>IFERROR(E32/E$17,0)</f>
        <v>0</v>
      </c>
      <c r="G32" s="452">
        <f t="shared" ref="G32" si="8">G23-G24-G31</f>
        <v>0</v>
      </c>
      <c r="H32" s="396">
        <f>IFERROR(G32/G$17,0)</f>
        <v>0</v>
      </c>
      <c r="I32" s="453">
        <f>I23-I24-I31</f>
        <v>0</v>
      </c>
      <c r="J32" s="842">
        <f>IFERROR(I32/I$17,0)</f>
        <v>0</v>
      </c>
      <c r="K32" s="854">
        <f>IFERROR((F32*$E$17+H32*$G$17+J32*$I$17)/SUM($E$17,$G$17,$I$17),0)</f>
        <v>0</v>
      </c>
    </row>
    <row r="33" spans="1:11" x14ac:dyDescent="0.45">
      <c r="B33" s="454"/>
      <c r="C33" s="455" t="s">
        <v>259</v>
      </c>
      <c r="D33" s="456" t="s">
        <v>260</v>
      </c>
      <c r="E33" s="457">
        <f>MIN('11-Fixed &amp; Variable Expenses'!D17*'11-Fixed &amp; Variable Expenses'!D15,E32)+E24</f>
        <v>0</v>
      </c>
      <c r="F33" s="396">
        <f>IFERROR(E33/E$17,0)</f>
        <v>0</v>
      </c>
      <c r="G33" s="458">
        <f>MIN('11-Fixed &amp; Variable Expenses'!E17*'11-Fixed &amp; Variable Expenses'!E15,G32)+G24</f>
        <v>0</v>
      </c>
      <c r="H33" s="396">
        <f>IFERROR(G33/G$17,0)</f>
        <v>0</v>
      </c>
      <c r="I33" s="459">
        <f>MIN('11-Fixed &amp; Variable Expenses'!F17*'11-Fixed &amp; Variable Expenses'!F15,I32)+I24</f>
        <v>0</v>
      </c>
      <c r="J33" s="842">
        <f>IFERROR(I33/I$17,0)</f>
        <v>0</v>
      </c>
      <c r="K33" s="854">
        <f>IFERROR((F33*$E$17+H33*$G$17+J33*$I$17)/SUM($E$17,$G$17,$I$17),0)</f>
        <v>0</v>
      </c>
    </row>
    <row r="34" spans="1:11" x14ac:dyDescent="0.45">
      <c r="B34" s="460">
        <f>B23-1</f>
        <v>-12</v>
      </c>
      <c r="C34" s="409" t="str">
        <f>C14</f>
        <v>Direct Losses &amp; DCCE Incurred</v>
      </c>
      <c r="D34" s="410"/>
      <c r="E34" s="461"/>
      <c r="F34" s="462"/>
      <c r="G34" s="463"/>
      <c r="H34" s="464"/>
      <c r="I34" s="465"/>
      <c r="J34" s="850"/>
      <c r="K34" s="861"/>
    </row>
    <row r="35" spans="1:11" x14ac:dyDescent="0.45">
      <c r="B35" s="466">
        <f>B34-1</f>
        <v>-13</v>
      </c>
      <c r="C35" s="415" t="str">
        <f>C15</f>
        <v>Not Applicable - Disregard</v>
      </c>
      <c r="D35" s="416"/>
      <c r="E35" s="467"/>
      <c r="F35" s="417">
        <f>IFERROR(E35/E34,0)</f>
        <v>0</v>
      </c>
      <c r="G35" s="468"/>
      <c r="H35" s="417">
        <f>IFERROR(G35/G34,0)</f>
        <v>0</v>
      </c>
      <c r="I35" s="469"/>
      <c r="J35" s="844">
        <f>IFERROR(I35/I34,0)</f>
        <v>0</v>
      </c>
      <c r="K35" s="854">
        <f>IFERROR((F35*$E$34+H35*$G$34+J35*$I$34)/SUM($E$34,$G$34,$I$34),0)</f>
        <v>0</v>
      </c>
    </row>
    <row r="36" spans="1:11" x14ac:dyDescent="0.45">
      <c r="B36" s="470">
        <f>B35-1</f>
        <v>-14</v>
      </c>
      <c r="C36" s="471" t="s">
        <v>261</v>
      </c>
      <c r="D36" s="472"/>
      <c r="E36" s="473"/>
      <c r="F36" s="417">
        <f>IFERROR(E36/E34,0)</f>
        <v>0</v>
      </c>
      <c r="G36" s="474"/>
      <c r="H36" s="417">
        <f>IFERROR(G36/G34,0)</f>
        <v>0</v>
      </c>
      <c r="I36" s="469"/>
      <c r="J36" s="844">
        <f>IFERROR(I36/I34,0)</f>
        <v>0</v>
      </c>
      <c r="K36" s="862">
        <f>IFERROR((F36*$E$34+H36*$G$34+J36*$I$34)/SUM($E$34,$G$34,$I$34),0)</f>
        <v>0</v>
      </c>
    </row>
    <row r="37" spans="1:11" x14ac:dyDescent="0.45">
      <c r="B37" s="307"/>
      <c r="C37" s="289"/>
      <c r="D37" s="289"/>
      <c r="E37" s="475"/>
      <c r="F37" s="475"/>
      <c r="G37" s="475"/>
      <c r="H37" s="475"/>
      <c r="I37" s="476"/>
      <c r="J37" s="477"/>
      <c r="K37" s="477"/>
    </row>
    <row r="38" spans="1:11" x14ac:dyDescent="0.45">
      <c r="B38" s="307"/>
      <c r="C38" s="289"/>
      <c r="D38" s="289"/>
      <c r="E38" s="475"/>
      <c r="F38" s="475"/>
      <c r="G38" s="475"/>
      <c r="H38" s="475"/>
      <c r="I38" s="475"/>
    </row>
    <row r="39" spans="1:11" x14ac:dyDescent="0.45">
      <c r="B39" s="1222" t="s">
        <v>262</v>
      </c>
      <c r="C39" s="1222"/>
      <c r="D39" s="1222"/>
      <c r="E39" s="1222"/>
      <c r="F39" s="1222"/>
      <c r="G39" s="1222"/>
      <c r="H39" s="1222"/>
      <c r="I39" s="1222"/>
    </row>
    <row r="40" spans="1:11" x14ac:dyDescent="0.45">
      <c r="B40" s="1222"/>
      <c r="C40" s="1222"/>
      <c r="D40" s="1222"/>
      <c r="E40" s="1222"/>
      <c r="F40" s="1222"/>
      <c r="G40" s="1222"/>
      <c r="H40" s="1222"/>
      <c r="I40" s="1222"/>
    </row>
    <row r="41" spans="1:11" x14ac:dyDescent="0.45">
      <c r="B41" s="1222"/>
      <c r="C41" s="1222"/>
      <c r="D41" s="1222"/>
      <c r="E41" s="1222"/>
      <c r="F41" s="1222"/>
      <c r="G41" s="1222"/>
      <c r="H41" s="1222"/>
      <c r="I41" s="1222"/>
    </row>
    <row r="42" spans="1:11" x14ac:dyDescent="0.45">
      <c r="B42" s="1222"/>
      <c r="C42" s="1222"/>
      <c r="D42" s="1222"/>
      <c r="E42" s="1222"/>
      <c r="F42" s="1222"/>
      <c r="G42" s="1222"/>
      <c r="H42" s="1222"/>
      <c r="I42" s="1222"/>
    </row>
    <row r="43" spans="1:11" x14ac:dyDescent="0.45">
      <c r="B43" s="307"/>
      <c r="C43" s="289"/>
      <c r="D43" s="289"/>
      <c r="E43" s="475"/>
      <c r="F43" s="475"/>
      <c r="G43" s="475"/>
      <c r="H43" s="475"/>
      <c r="I43" s="475"/>
    </row>
    <row r="46" spans="1:11" x14ac:dyDescent="0.45">
      <c r="A46" s="274" t="s">
        <v>263</v>
      </c>
    </row>
    <row r="47" spans="1:11" x14ac:dyDescent="0.45">
      <c r="A47" s="478">
        <f>B10</f>
        <v>-1</v>
      </c>
      <c r="B47" s="257" t="s">
        <v>264</v>
      </c>
    </row>
    <row r="48" spans="1:11" x14ac:dyDescent="0.45">
      <c r="A48" s="478">
        <f>A47-1</f>
        <v>-2</v>
      </c>
      <c r="B48" s="257" t="s">
        <v>265</v>
      </c>
    </row>
    <row r="49" spans="1:2" x14ac:dyDescent="0.45">
      <c r="A49" s="478">
        <f t="shared" ref="A49:A56" si="9">A48-1</f>
        <v>-3</v>
      </c>
      <c r="B49" s="370" t="s">
        <v>266</v>
      </c>
    </row>
    <row r="50" spans="1:2" x14ac:dyDescent="0.45">
      <c r="A50" s="478">
        <f t="shared" si="9"/>
        <v>-4</v>
      </c>
      <c r="B50" s="370" t="s">
        <v>266</v>
      </c>
    </row>
    <row r="51" spans="1:2" x14ac:dyDescent="0.45">
      <c r="A51" s="478">
        <f t="shared" si="9"/>
        <v>-5</v>
      </c>
      <c r="B51" s="370" t="s">
        <v>266</v>
      </c>
    </row>
    <row r="52" spans="1:2" x14ac:dyDescent="0.45">
      <c r="A52" s="478">
        <f t="shared" si="9"/>
        <v>-6</v>
      </c>
      <c r="B52" s="370" t="str">
        <f>IF('General Information'!B18='Drop Down Lists and Formatting'!A40,"Company-provided","N/A - Disregard")</f>
        <v>N/A - Disregard</v>
      </c>
    </row>
    <row r="53" spans="1:2" x14ac:dyDescent="0.45">
      <c r="A53" s="478">
        <f t="shared" si="9"/>
        <v>-7</v>
      </c>
      <c r="B53" s="257" t="s">
        <v>265</v>
      </c>
    </row>
    <row r="54" spans="1:2" x14ac:dyDescent="0.45">
      <c r="A54" s="478">
        <f t="shared" si="9"/>
        <v>-8</v>
      </c>
      <c r="B54" s="257" t="s">
        <v>265</v>
      </c>
    </row>
    <row r="55" spans="1:2" x14ac:dyDescent="0.45">
      <c r="A55" s="478">
        <f t="shared" si="9"/>
        <v>-9</v>
      </c>
      <c r="B55" s="370" t="s">
        <v>266</v>
      </c>
    </row>
    <row r="56" spans="1:2" x14ac:dyDescent="0.45">
      <c r="A56" s="478">
        <f t="shared" si="9"/>
        <v>-10</v>
      </c>
      <c r="B56" s="370" t="s">
        <v>266</v>
      </c>
    </row>
    <row r="57" spans="1:2" x14ac:dyDescent="0.45">
      <c r="A57" s="478" t="s">
        <v>267</v>
      </c>
      <c r="B57" s="370" t="s">
        <v>266</v>
      </c>
    </row>
    <row r="58" spans="1:2" x14ac:dyDescent="0.45">
      <c r="A58" s="478" t="s">
        <v>268</v>
      </c>
      <c r="B58" s="372" t="s">
        <v>269</v>
      </c>
    </row>
    <row r="59" spans="1:2" x14ac:dyDescent="0.45">
      <c r="A59" s="478">
        <f>A56-1</f>
        <v>-11</v>
      </c>
      <c r="B59" s="370" t="s">
        <v>266</v>
      </c>
    </row>
    <row r="60" spans="1:2" x14ac:dyDescent="0.45">
      <c r="A60" s="478" t="s">
        <v>270</v>
      </c>
      <c r="B60" s="370" t="s">
        <v>266</v>
      </c>
    </row>
    <row r="61" spans="1:2" x14ac:dyDescent="0.45">
      <c r="A61" s="478" t="s">
        <v>271</v>
      </c>
      <c r="B61" s="370" t="s">
        <v>266</v>
      </c>
    </row>
    <row r="62" spans="1:2" x14ac:dyDescent="0.45">
      <c r="A62" s="478" t="s">
        <v>272</v>
      </c>
      <c r="B62" s="370" t="s">
        <v>266</v>
      </c>
    </row>
    <row r="63" spans="1:2" x14ac:dyDescent="0.45">
      <c r="A63" s="478" t="s">
        <v>273</v>
      </c>
      <c r="B63" s="370" t="s">
        <v>266</v>
      </c>
    </row>
    <row r="64" spans="1:2" x14ac:dyDescent="0.45">
      <c r="A64" s="478" t="s">
        <v>274</v>
      </c>
      <c r="B64" s="370" t="s">
        <v>266</v>
      </c>
    </row>
    <row r="65" spans="1:2" x14ac:dyDescent="0.45">
      <c r="A65" s="478" t="s">
        <v>275</v>
      </c>
      <c r="B65" s="370" t="s">
        <v>266</v>
      </c>
    </row>
    <row r="66" spans="1:2" x14ac:dyDescent="0.45">
      <c r="A66" s="478" t="s">
        <v>276</v>
      </c>
      <c r="B66" s="370" t="s">
        <v>266</v>
      </c>
    </row>
    <row r="67" spans="1:2" x14ac:dyDescent="0.45">
      <c r="A67" s="478" t="s">
        <v>277</v>
      </c>
      <c r="B67" s="372" t="s">
        <v>278</v>
      </c>
    </row>
    <row r="68" spans="1:2" x14ac:dyDescent="0.45">
      <c r="A68" s="478" t="s">
        <v>279</v>
      </c>
      <c r="B68" s="372" t="s">
        <v>280</v>
      </c>
    </row>
    <row r="69" spans="1:2" x14ac:dyDescent="0.45">
      <c r="A69" s="478" t="s">
        <v>281</v>
      </c>
      <c r="B69" s="372" t="s">
        <v>282</v>
      </c>
    </row>
    <row r="70" spans="1:2" x14ac:dyDescent="0.45">
      <c r="A70" s="478">
        <f>A59-1</f>
        <v>-12</v>
      </c>
      <c r="B70" s="370" t="s">
        <v>266</v>
      </c>
    </row>
    <row r="71" spans="1:2" x14ac:dyDescent="0.45">
      <c r="A71" s="478">
        <f>A70-1</f>
        <v>-13</v>
      </c>
      <c r="B71" s="370" t="str">
        <f>B52</f>
        <v>N/A - Disregard</v>
      </c>
    </row>
    <row r="72" spans="1:2" x14ac:dyDescent="0.45">
      <c r="A72" s="478">
        <f>A71-1</f>
        <v>-14</v>
      </c>
      <c r="B72" s="370" t="s">
        <v>266</v>
      </c>
    </row>
  </sheetData>
  <sheetProtection sheet="1" objects="1" scenarios="1"/>
  <mergeCells count="7">
    <mergeCell ref="A5:K5"/>
    <mergeCell ref="B39:I42"/>
    <mergeCell ref="E7:K7"/>
    <mergeCell ref="I8:J8"/>
    <mergeCell ref="G8:H8"/>
    <mergeCell ref="E8:F8"/>
    <mergeCell ref="C19:D19"/>
  </mergeCells>
  <conditionalFormatting sqref="E34:I36 E12:E13 G12:G13 I12:I13 E19 G19 I19 E23:E30 G24:G30 I24:I30">
    <cfRule type="expression" dxfId="149" priority="16">
      <formula>E12=""</formula>
    </cfRule>
  </conditionalFormatting>
  <conditionalFormatting sqref="E14:J15 J34:J35">
    <cfRule type="expression" dxfId="148" priority="14">
      <formula>E14=""</formula>
    </cfRule>
  </conditionalFormatting>
  <conditionalFormatting sqref="E15:J15 E35:J35">
    <cfRule type="expression" dxfId="147" priority="11">
      <formula>$C$15="Not Applicable - Disregard"</formula>
    </cfRule>
  </conditionalFormatting>
  <conditionalFormatting sqref="F14 H14 J14:K14 F20:F21 H20:H21 J20:K21 K31 F34 H34 J34:K34">
    <cfRule type="expression" dxfId="146" priority="8">
      <formula>F14=""</formula>
    </cfRule>
  </conditionalFormatting>
  <conditionalFormatting sqref="F36">
    <cfRule type="expression" dxfId="145" priority="5">
      <formula>$C$15="Not Applicable - Disregard"</formula>
    </cfRule>
  </conditionalFormatting>
  <conditionalFormatting sqref="G23:J23">
    <cfRule type="expression" dxfId="144" priority="10">
      <formula>G23=""</formula>
    </cfRule>
  </conditionalFormatting>
  <conditionalFormatting sqref="H36">
    <cfRule type="expression" dxfId="143" priority="4">
      <formula>$C$15="Not Applicable - Disregard"</formula>
    </cfRule>
  </conditionalFormatting>
  <conditionalFormatting sqref="J2:J3">
    <cfRule type="cellIs" dxfId="142" priority="1" operator="equal">
      <formula>""</formula>
    </cfRule>
  </conditionalFormatting>
  <conditionalFormatting sqref="J15">
    <cfRule type="expression" dxfId="141" priority="7">
      <formula>J15=""</formula>
    </cfRule>
  </conditionalFormatting>
  <conditionalFormatting sqref="J35:J36">
    <cfRule type="expression" dxfId="140" priority="3">
      <formula>J35=""</formula>
    </cfRule>
  </conditionalFormatting>
  <conditionalFormatting sqref="J36">
    <cfRule type="expression" dxfId="139" priority="2">
      <formula>$C$15="Not Applicable - Disregard"</formula>
    </cfRule>
  </conditionalFormatting>
  <conditionalFormatting sqref="K14 E20:K21 K34">
    <cfRule type="expression" dxfId="138" priority="12">
      <formula>E14=""</formula>
    </cfRule>
  </conditionalFormatting>
  <printOptions horizontalCentered="1"/>
  <pageMargins left="0.4" right="0.5" top="0.5" bottom="0.5" header="0.3" footer="0.3"/>
  <pageSetup scale="71" orientation="portrait" r:id="rId1"/>
  <rowBreaks count="1" manualBreakCount="1">
    <brk id="37" max="1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1"/>
  <dimension ref="A1:L63"/>
  <sheetViews>
    <sheetView showGridLines="0" zoomScaleNormal="100" zoomScaleSheetLayoutView="85" zoomScalePageLayoutView="70" workbookViewId="0"/>
  </sheetViews>
  <sheetFormatPr defaultColWidth="4.88671875" defaultRowHeight="19.2" x14ac:dyDescent="0.3"/>
  <cols>
    <col min="1" max="12" width="13.6640625" style="482" customWidth="1"/>
    <col min="13" max="13" width="11.5546875" style="482" customWidth="1"/>
    <col min="14" max="16384" width="4.88671875" style="482"/>
  </cols>
  <sheetData>
    <row r="1" spans="1:12" x14ac:dyDescent="0.45">
      <c r="A1" s="1055" t="str">
        <f>'General Information'!$A$1</f>
        <v>Texas Department of Insurance</v>
      </c>
    </row>
    <row r="2" spans="1:12" x14ac:dyDescent="0.45">
      <c r="A2" s="1055" t="str">
        <f>'General Information'!$A$2</f>
        <v>Property and Casualty Rate Filing Exhibits</v>
      </c>
      <c r="J2" s="160" t="s">
        <v>97</v>
      </c>
      <c r="K2" s="1018" t="str">
        <f>'General Information'!$E$2</f>
        <v>Fill out Gen Info</v>
      </c>
    </row>
    <row r="3" spans="1:12" x14ac:dyDescent="0.45">
      <c r="A3" s="1055" t="str">
        <f>'General Information'!$A$3</f>
        <v>Rate Filing Template (2025 Edition)</v>
      </c>
      <c r="J3" s="160" t="s">
        <v>98</v>
      </c>
      <c r="K3" s="1018" t="str">
        <f>'General Information'!$E$3</f>
        <v>Fill out Gen Info</v>
      </c>
    </row>
    <row r="5" spans="1:12" x14ac:dyDescent="0.3">
      <c r="A5" s="1221" t="s">
        <v>283</v>
      </c>
      <c r="B5" s="1199"/>
      <c r="C5" s="1199"/>
      <c r="D5" s="1199"/>
      <c r="E5" s="1199"/>
      <c r="F5" s="1199"/>
      <c r="G5" s="1199"/>
      <c r="H5" s="1199"/>
      <c r="I5" s="1199"/>
      <c r="J5" s="1199"/>
      <c r="K5" s="1199"/>
      <c r="L5" s="1199"/>
    </row>
    <row r="9" spans="1:12" s="291" customFormat="1" x14ac:dyDescent="0.3">
      <c r="A9" s="483" t="s">
        <v>284</v>
      </c>
      <c r="B9" s="1084">
        <f>A9-1</f>
        <v>-2</v>
      </c>
      <c r="C9" s="1084">
        <f t="shared" ref="C9:I9" si="0">B9-1</f>
        <v>-3</v>
      </c>
      <c r="D9" s="1084">
        <f t="shared" si="0"/>
        <v>-4</v>
      </c>
      <c r="E9" s="1084">
        <f t="shared" si="0"/>
        <v>-5</v>
      </c>
      <c r="F9" s="1084">
        <f t="shared" si="0"/>
        <v>-6</v>
      </c>
      <c r="G9" s="1084">
        <f t="shared" si="0"/>
        <v>-7</v>
      </c>
      <c r="H9" s="1084">
        <f t="shared" si="0"/>
        <v>-8</v>
      </c>
      <c r="I9" s="1084">
        <f t="shared" si="0"/>
        <v>-9</v>
      </c>
      <c r="J9" s="1084">
        <f>I9-1</f>
        <v>-10</v>
      </c>
      <c r="K9" s="1084">
        <f>J9-1</f>
        <v>-11</v>
      </c>
      <c r="L9" s="1084">
        <f>K9-1</f>
        <v>-12</v>
      </c>
    </row>
    <row r="10" spans="1:12" ht="96" x14ac:dyDescent="0.3">
      <c r="A10" s="1022" t="str">
        <f>TEXT('General Information'!B16,) &amp; TEXT(" Ending","")</f>
        <v xml:space="preserve"> Ending</v>
      </c>
      <c r="B10" s="1022" t="s">
        <v>285</v>
      </c>
      <c r="C10" s="1022" t="s">
        <v>286</v>
      </c>
      <c r="D10" s="1022" t="s">
        <v>287</v>
      </c>
      <c r="E10" s="1022" t="s">
        <v>288</v>
      </c>
      <c r="F10" s="1022" t="str">
        <f>IF('General Information'!B18='Drop Down Lists and Formatting'!A40,"Non-Catastrophe Capped 
Loss","Non-Catastrophe Capped Loss &amp; DCCE")</f>
        <v>Non-Catastrophe Capped Loss &amp; DCCE</v>
      </c>
      <c r="G10" s="1022" t="s">
        <v>289</v>
      </c>
      <c r="H10" s="1022" t="s">
        <v>290</v>
      </c>
      <c r="I10" s="1022" t="s">
        <v>291</v>
      </c>
      <c r="J10" s="1022" t="str">
        <f>IF('General Information'!B18='Drop Down Lists and Formatting'!A40,"Projected Ultimate Non-Cat
Loss ","Projected Ultimate Non-Cat Loss &amp; DCCE")</f>
        <v>Projected Ultimate Non-Cat Loss &amp; DCCE</v>
      </c>
      <c r="K10" s="1022" t="str">
        <f>IF('General Information'!B18='Drop Down Lists and Formatting'!A40,"Projected
Non-Cat
Loss Ratio","Projected
Non-Cat Loss &amp; DCCE Ratio")</f>
        <v>Projected
Non-Cat Loss &amp; DCCE Ratio</v>
      </c>
      <c r="L10" s="1022" t="s">
        <v>292</v>
      </c>
    </row>
    <row r="11" spans="1:12" x14ac:dyDescent="0.3">
      <c r="A11" s="484" t="str">
        <f>IF('General Information'!B20="","__ /__ /20__",DATE(YEAR('General Information'!$B$20)-4,MONTH('General Information'!$B$20),DAY('General Information'!$B$20)))</f>
        <v>__ /__ /20__</v>
      </c>
      <c r="B11" s="485"/>
      <c r="C11" s="486">
        <f>IF('2-Current Rate Level'!D10="",1,'2-Current Rate Level'!D10)</f>
        <v>1</v>
      </c>
      <c r="D11" s="487">
        <f>'4B-Premium Trend'!F14</f>
        <v>1</v>
      </c>
      <c r="E11" s="488">
        <f>B11*C11*D11</f>
        <v>0</v>
      </c>
      <c r="F11" s="485"/>
      <c r="G11" s="489">
        <f>IF('General Information'!$B$16='Drop Down Lists and Formatting'!A36,1,'6-Loss Development'!G66)</f>
        <v>1</v>
      </c>
      <c r="H11" s="489">
        <f>'5B-Loss Trend'!G13</f>
        <v>1</v>
      </c>
      <c r="I11" s="489">
        <f>'7-Large Loss Load'!E47+1</f>
        <v>1</v>
      </c>
      <c r="J11" s="490">
        <f>F11*G11*H11*I11</f>
        <v>0</v>
      </c>
      <c r="K11" s="491">
        <f t="shared" ref="K11:K16" si="1">IFERROR(J11/E11,0)</f>
        <v>0</v>
      </c>
      <c r="L11" s="492"/>
    </row>
    <row r="12" spans="1:12" x14ac:dyDescent="0.3">
      <c r="A12" s="493" t="str">
        <f>IF('General Information'!B20="","__ /__ /20__",DATE(YEAR('General Information'!$B$20)-3,MONTH('General Information'!$B$20),DAY('General Information'!$B$20)))</f>
        <v>__ /__ /20__</v>
      </c>
      <c r="B12" s="494"/>
      <c r="C12" s="495">
        <f>IF('2-Current Rate Level'!D11="",1,'2-Current Rate Level'!D11)</f>
        <v>1</v>
      </c>
      <c r="D12" s="496">
        <f>'4B-Premium Trend'!F15</f>
        <v>1</v>
      </c>
      <c r="E12" s="497">
        <f t="shared" ref="E12:E15" si="2">B12*C12*D12</f>
        <v>0</v>
      </c>
      <c r="F12" s="494"/>
      <c r="G12" s="498">
        <f>IF('General Information'!$B$16='Drop Down Lists and Formatting'!A36,1,'6-Loss Development'!F66)</f>
        <v>1</v>
      </c>
      <c r="H12" s="498">
        <f>'5B-Loss Trend'!G14</f>
        <v>1</v>
      </c>
      <c r="I12" s="498">
        <f>'7-Large Loss Load'!E47+1</f>
        <v>1</v>
      </c>
      <c r="J12" s="499">
        <f>F12*G12*H12*I12</f>
        <v>0</v>
      </c>
      <c r="K12" s="500">
        <f t="shared" si="1"/>
        <v>0</v>
      </c>
      <c r="L12" s="342"/>
    </row>
    <row r="13" spans="1:12" x14ac:dyDescent="0.3">
      <c r="A13" s="484" t="str">
        <f>IF('General Information'!B20="","__ /__ /20__",DATE(YEAR('General Information'!$B$20)-2,MONTH('General Information'!$B$20),DAY('General Information'!$B$20)))</f>
        <v>__ /__ /20__</v>
      </c>
      <c r="B13" s="501"/>
      <c r="C13" s="502">
        <f>IF('2-Current Rate Level'!D12="",1,'2-Current Rate Level'!D12)</f>
        <v>1</v>
      </c>
      <c r="D13" s="487">
        <f>'4B-Premium Trend'!F16</f>
        <v>1</v>
      </c>
      <c r="E13" s="503">
        <f t="shared" si="2"/>
        <v>0</v>
      </c>
      <c r="F13" s="501"/>
      <c r="G13" s="489">
        <f>IF('General Information'!$B$16='Drop Down Lists and Formatting'!A36,1,'6-Loss Development'!E66)</f>
        <v>1</v>
      </c>
      <c r="H13" s="489">
        <f>'5B-Loss Trend'!G15</f>
        <v>1</v>
      </c>
      <c r="I13" s="489">
        <f>'7-Large Loss Load'!E47+1</f>
        <v>1</v>
      </c>
      <c r="J13" s="504">
        <f>F13*G13*H13*I13</f>
        <v>0</v>
      </c>
      <c r="K13" s="491">
        <f t="shared" si="1"/>
        <v>0</v>
      </c>
      <c r="L13" s="505"/>
    </row>
    <row r="14" spans="1:12" x14ac:dyDescent="0.3">
      <c r="A14" s="493" t="str">
        <f>IF('General Information'!B20="","__ /__ /20__",DATE(YEAR('General Information'!$B$20)-1,MONTH('General Information'!$B$20),DAY('General Information'!$B$20)))</f>
        <v>__ /__ /20__</v>
      </c>
      <c r="B14" s="494"/>
      <c r="C14" s="495">
        <f>IF('2-Current Rate Level'!D13="",1,'2-Current Rate Level'!D13)</f>
        <v>1</v>
      </c>
      <c r="D14" s="496">
        <f>'4B-Premium Trend'!F17</f>
        <v>1</v>
      </c>
      <c r="E14" s="497">
        <f t="shared" si="2"/>
        <v>0</v>
      </c>
      <c r="F14" s="494"/>
      <c r="G14" s="498">
        <f>IF('General Information'!$B$16='Drop Down Lists and Formatting'!A36,1,'6-Loss Development'!D66)</f>
        <v>1</v>
      </c>
      <c r="H14" s="498">
        <f>'5B-Loss Trend'!G16</f>
        <v>1</v>
      </c>
      <c r="I14" s="498">
        <f>'7-Large Loss Load'!E47+1</f>
        <v>1</v>
      </c>
      <c r="J14" s="499">
        <f>F14*G14*H14*I14</f>
        <v>0</v>
      </c>
      <c r="K14" s="500">
        <f t="shared" si="1"/>
        <v>0</v>
      </c>
      <c r="L14" s="342"/>
    </row>
    <row r="15" spans="1:12" x14ac:dyDescent="0.3">
      <c r="A15" s="506" t="str">
        <f>IF('General Information'!B20="","__ /__ /20__",DATE(YEAR('General Information'!B20),MONTH('General Information'!B20),DAY('General Information'!B20)))</f>
        <v>__ /__ /20__</v>
      </c>
      <c r="B15" s="507"/>
      <c r="C15" s="508">
        <f>IF('2-Current Rate Level'!D14="",1,'2-Current Rate Level'!D14)</f>
        <v>1</v>
      </c>
      <c r="D15" s="508">
        <f>'4B-Premium Trend'!F18</f>
        <v>1</v>
      </c>
      <c r="E15" s="509">
        <f t="shared" si="2"/>
        <v>0</v>
      </c>
      <c r="F15" s="507"/>
      <c r="G15" s="510">
        <f>IF('General Information'!$B$16='Drop Down Lists and Formatting'!A36,1,'6-Loss Development'!C66)</f>
        <v>1</v>
      </c>
      <c r="H15" s="510">
        <f>'5B-Loss Trend'!G17</f>
        <v>1</v>
      </c>
      <c r="I15" s="510">
        <f>'7-Large Loss Load'!E47+1</f>
        <v>1</v>
      </c>
      <c r="J15" s="511">
        <f>F15*G15*H15*I15</f>
        <v>0</v>
      </c>
      <c r="K15" s="512">
        <f t="shared" si="1"/>
        <v>0</v>
      </c>
      <c r="L15" s="513"/>
    </row>
    <row r="16" spans="1:12" x14ac:dyDescent="0.3">
      <c r="A16" s="514" t="s">
        <v>293</v>
      </c>
      <c r="B16" s="515">
        <f>SUM(B11:B15)</f>
        <v>0</v>
      </c>
      <c r="C16" s="516"/>
      <c r="D16" s="516"/>
      <c r="E16" s="517">
        <f>SUM(E11:E15)</f>
        <v>0</v>
      </c>
      <c r="F16" s="515">
        <f>SUM(F11:F15)</f>
        <v>0</v>
      </c>
      <c r="G16" s="516"/>
      <c r="H16" s="516"/>
      <c r="I16" s="516"/>
      <c r="J16" s="517">
        <f>SUM(J11:J15)</f>
        <v>0</v>
      </c>
      <c r="K16" s="512">
        <f t="shared" si="1"/>
        <v>0</v>
      </c>
      <c r="L16" s="518">
        <f>SUM(L11:L15)</f>
        <v>0</v>
      </c>
    </row>
    <row r="17" spans="2:11" x14ac:dyDescent="0.3">
      <c r="B17" s="519"/>
      <c r="C17" s="519"/>
      <c r="D17" s="519"/>
      <c r="E17" s="519"/>
      <c r="F17" s="519"/>
      <c r="G17" s="519"/>
      <c r="H17" s="519"/>
      <c r="I17" s="520"/>
      <c r="K17" s="521" t="str">
        <f>IF(AND(NOT(L15=""),NOT(L16=1)),"Weights Must Equal 100.0%!","")</f>
        <v/>
      </c>
    </row>
    <row r="18" spans="2:11" x14ac:dyDescent="0.3">
      <c r="B18" s="519"/>
      <c r="C18" s="519"/>
      <c r="D18" s="519"/>
      <c r="E18" s="519"/>
      <c r="F18" s="519"/>
      <c r="G18" s="519"/>
      <c r="H18" s="519"/>
      <c r="I18" s="520"/>
      <c r="K18" s="522"/>
    </row>
    <row r="19" spans="2:11" ht="19.2" customHeight="1" x14ac:dyDescent="0.3">
      <c r="B19" s="519"/>
      <c r="C19" s="519"/>
      <c r="D19" s="519"/>
      <c r="F19" s="523">
        <f>L9-1</f>
        <v>-13</v>
      </c>
      <c r="G19" s="544" t="str">
        <f>IF('General Information'!B18='Drop Down Lists and Formatting'!A40,"Weighted Projected Non-Cat Loss Ratio","Weighted Projected Non-Cat Loss &amp; DCCE Ratio")</f>
        <v>Weighted Projected Non-Cat Loss &amp; DCCE Ratio</v>
      </c>
      <c r="H19" s="540"/>
      <c r="I19" s="540"/>
      <c r="J19" s="540"/>
      <c r="K19" s="524">
        <f>SUMPRODUCT(K11:K15,L11:L15)</f>
        <v>0</v>
      </c>
    </row>
    <row r="20" spans="2:11" x14ac:dyDescent="0.3">
      <c r="C20" s="519"/>
      <c r="D20" s="519"/>
      <c r="F20" s="523">
        <f t="shared" ref="F20:F29" si="3">F19-1</f>
        <v>-14</v>
      </c>
      <c r="G20" s="525" t="str">
        <f>IF(AND('General Information'!B18='Drop Down Lists and Formatting'!A40,'8-Non-Modeled Cat Loss Load'!B49='Drop Down Lists and Formatting'!A63),"Non-Modeled Cat Loss Load",IF(AND('General Information'!B18='Drop Down Lists and Formatting'!A40,'8-Non-Modeled Cat Loss Load'!B49='Drop Down Lists and Formatting'!A64),"Projected Non-Modeled Cat Loss Ratio",IF('8-Non-Modeled Cat Loss Load'!B49='Drop Down Lists and Formatting'!A64,"Projected Non-Modeled Cat Loss &amp; DCCE Ratio","Non-Modeled Cat Loss &amp; DCCE Load")))</f>
        <v>Non-Modeled Cat Loss &amp; DCCE Load</v>
      </c>
      <c r="H20" s="526"/>
      <c r="I20" s="526"/>
      <c r="J20" s="526"/>
      <c r="K20" s="527">
        <f>'8-Non-Modeled Cat Loss Load'!E51</f>
        <v>0</v>
      </c>
    </row>
    <row r="21" spans="2:11" ht="19.2" customHeight="1" x14ac:dyDescent="0.3">
      <c r="F21" s="523">
        <f t="shared" si="3"/>
        <v>-15</v>
      </c>
      <c r="G21" s="545" t="s">
        <v>294</v>
      </c>
      <c r="H21" s="541"/>
      <c r="I21" s="541"/>
      <c r="J21" s="541"/>
      <c r="K21" s="530">
        <f>'9-Modeled Cat'!G67</f>
        <v>0</v>
      </c>
    </row>
    <row r="22" spans="2:11" x14ac:dyDescent="0.3">
      <c r="F22" s="523">
        <f t="shared" si="3"/>
        <v>-16</v>
      </c>
      <c r="G22" s="525" t="str">
        <f>IF('General Information'!B18='Drop Down Lists and Formatting'!A40,"DCCE and A&amp;O as a % of Loss","A&amp;O as a % of Loss &amp; DCCE")</f>
        <v>A&amp;O as a % of Loss &amp; DCCE</v>
      </c>
      <c r="H22" s="526"/>
      <c r="I22" s="526"/>
      <c r="J22" s="526"/>
      <c r="K22" s="527">
        <f>IF('General Information'!B18='Drop Down Lists and Formatting'!A40,'10-Loss Adjustment Expenses'!C24+'10-Loss Adjustment Expenses'!C25,'10-Loss Adjustment Expenses'!C25)</f>
        <v>0</v>
      </c>
    </row>
    <row r="23" spans="2:11" x14ac:dyDescent="0.3">
      <c r="F23" s="523">
        <f t="shared" si="3"/>
        <v>-17</v>
      </c>
      <c r="G23" s="528" t="s">
        <v>295</v>
      </c>
      <c r="H23" s="529"/>
      <c r="I23" s="529"/>
      <c r="J23" s="529"/>
      <c r="K23" s="530">
        <f>'11-Fixed &amp; Variable Expenses'!H62</f>
        <v>0</v>
      </c>
    </row>
    <row r="24" spans="2:11" ht="19.2" customHeight="1" x14ac:dyDescent="0.3">
      <c r="F24" s="523">
        <f t="shared" si="3"/>
        <v>-18</v>
      </c>
      <c r="G24" s="546" t="s">
        <v>296</v>
      </c>
      <c r="H24" s="542"/>
      <c r="I24" s="542"/>
      <c r="J24" s="542"/>
      <c r="K24" s="527">
        <f>IF('8-Non-Modeled Cat Loss Load'!B49='Drop Down Lists and Formatting'!A64,((K19+K20)*(1+K22))+K21+K23,K19*(1+K20)*(1+K22)+K21+K23)</f>
        <v>0</v>
      </c>
    </row>
    <row r="25" spans="2:11" x14ac:dyDescent="0.3">
      <c r="F25" s="523">
        <f t="shared" si="3"/>
        <v>-19</v>
      </c>
      <c r="G25" s="528" t="s">
        <v>297</v>
      </c>
      <c r="H25" s="529"/>
      <c r="I25" s="529"/>
      <c r="J25" s="529"/>
      <c r="K25" s="530">
        <f>'11-Fixed &amp; Variable Expenses'!H65</f>
        <v>1</v>
      </c>
    </row>
    <row r="26" spans="2:11" x14ac:dyDescent="0.3">
      <c r="F26" s="523">
        <f t="shared" si="3"/>
        <v>-20</v>
      </c>
      <c r="G26" s="525" t="s">
        <v>197</v>
      </c>
      <c r="H26" s="526"/>
      <c r="I26" s="526"/>
      <c r="J26" s="526"/>
      <c r="K26" s="527">
        <f>K24/K25-1</f>
        <v>-1</v>
      </c>
    </row>
    <row r="27" spans="2:11" x14ac:dyDescent="0.3">
      <c r="F27" s="523">
        <f t="shared" si="3"/>
        <v>-21</v>
      </c>
      <c r="G27" s="528" t="s">
        <v>298</v>
      </c>
      <c r="H27" s="529"/>
      <c r="I27" s="529"/>
      <c r="J27" s="529"/>
      <c r="K27" s="530">
        <f>'14-Credibility'!D11</f>
        <v>1</v>
      </c>
    </row>
    <row r="28" spans="2:11" x14ac:dyDescent="0.3">
      <c r="F28" s="523">
        <f t="shared" si="3"/>
        <v>-22</v>
      </c>
      <c r="G28" s="525" t="s">
        <v>299</v>
      </c>
      <c r="H28" s="526"/>
      <c r="I28" s="526"/>
      <c r="J28" s="526"/>
      <c r="K28" s="527">
        <f>IF('14-Credibility'!D15="",'14-Credibility'!D14,'14-Credibility'!D15)</f>
        <v>0</v>
      </c>
    </row>
    <row r="29" spans="2:11" ht="19.2" customHeight="1" x14ac:dyDescent="0.3">
      <c r="F29" s="523">
        <f t="shared" si="3"/>
        <v>-23</v>
      </c>
      <c r="G29" s="547" t="s">
        <v>300</v>
      </c>
      <c r="H29" s="543"/>
      <c r="I29" s="543"/>
      <c r="J29" s="543"/>
      <c r="K29" s="531">
        <f>((1+K26)*K27)+((1+K28)*(1-K27))-1</f>
        <v>-1</v>
      </c>
    </row>
    <row r="30" spans="2:11" ht="19.8" thickBot="1" x14ac:dyDescent="0.35">
      <c r="G30" s="532"/>
      <c r="H30" s="532"/>
      <c r="I30" s="549"/>
      <c r="K30" s="533"/>
    </row>
    <row r="31" spans="2:11" ht="20.399999999999999" thickTop="1" thickBot="1" x14ac:dyDescent="0.35">
      <c r="F31" s="523">
        <f>F29-1</f>
        <v>-24</v>
      </c>
      <c r="G31" s="534" t="s">
        <v>198</v>
      </c>
      <c r="H31" s="535"/>
      <c r="I31" s="548"/>
      <c r="J31" s="536"/>
      <c r="K31" s="537"/>
    </row>
    <row r="32" spans="2:11" ht="19.8" thickTop="1" x14ac:dyDescent="0.3"/>
    <row r="35" spans="1:12" x14ac:dyDescent="0.3">
      <c r="K35" s="520"/>
      <c r="L35" s="160"/>
    </row>
    <row r="36" spans="1:12" x14ac:dyDescent="0.3">
      <c r="L36" s="160"/>
    </row>
    <row r="37" spans="1:12" x14ac:dyDescent="0.3">
      <c r="A37" s="1231" t="s">
        <v>301</v>
      </c>
      <c r="B37" s="1231"/>
    </row>
    <row r="38" spans="1:12" x14ac:dyDescent="0.3">
      <c r="A38" s="538">
        <v>-1</v>
      </c>
      <c r="B38" s="482" t="s">
        <v>302</v>
      </c>
    </row>
    <row r="39" spans="1:12" x14ac:dyDescent="0.3">
      <c r="A39" s="538">
        <f>A38-1</f>
        <v>-2</v>
      </c>
      <c r="B39" s="263" t="s">
        <v>266</v>
      </c>
    </row>
    <row r="40" spans="1:12" x14ac:dyDescent="0.3">
      <c r="A40" s="538">
        <f t="shared" ref="A40:A59" si="4">A39-1</f>
        <v>-3</v>
      </c>
      <c r="B40" s="482" t="s">
        <v>303</v>
      </c>
    </row>
    <row r="41" spans="1:12" x14ac:dyDescent="0.3">
      <c r="A41" s="538">
        <f t="shared" si="4"/>
        <v>-4</v>
      </c>
      <c r="B41" s="482" t="s">
        <v>304</v>
      </c>
    </row>
    <row r="42" spans="1:12" x14ac:dyDescent="0.3">
      <c r="A42" s="538">
        <f>A41-1</f>
        <v>-5</v>
      </c>
      <c r="B42" s="539" t="s">
        <v>305</v>
      </c>
    </row>
    <row r="43" spans="1:12" x14ac:dyDescent="0.3">
      <c r="A43" s="538">
        <f t="shared" si="4"/>
        <v>-6</v>
      </c>
      <c r="B43" s="263" t="s">
        <v>266</v>
      </c>
    </row>
    <row r="44" spans="1:12" x14ac:dyDescent="0.3">
      <c r="A44" s="538">
        <f t="shared" si="4"/>
        <v>-7</v>
      </c>
      <c r="B44" s="482" t="s">
        <v>306</v>
      </c>
    </row>
    <row r="45" spans="1:12" x14ac:dyDescent="0.3">
      <c r="A45" s="538">
        <f t="shared" si="4"/>
        <v>-8</v>
      </c>
      <c r="B45" s="482" t="s">
        <v>307</v>
      </c>
    </row>
    <row r="46" spans="1:12" x14ac:dyDescent="0.3">
      <c r="A46" s="538">
        <f t="shared" si="4"/>
        <v>-9</v>
      </c>
      <c r="B46" s="482" t="s">
        <v>308</v>
      </c>
    </row>
    <row r="47" spans="1:12" x14ac:dyDescent="0.3">
      <c r="A47" s="538">
        <f>A46-1</f>
        <v>-10</v>
      </c>
      <c r="B47" s="539" t="s">
        <v>309</v>
      </c>
    </row>
    <row r="48" spans="1:12" x14ac:dyDescent="0.3">
      <c r="A48" s="538">
        <f t="shared" si="4"/>
        <v>-11</v>
      </c>
      <c r="B48" s="539" t="s">
        <v>310</v>
      </c>
    </row>
    <row r="49" spans="1:8" x14ac:dyDescent="0.3">
      <c r="A49" s="538">
        <f t="shared" si="4"/>
        <v>-12</v>
      </c>
      <c r="B49" s="263" t="s">
        <v>266</v>
      </c>
    </row>
    <row r="50" spans="1:8" x14ac:dyDescent="0.3">
      <c r="A50" s="538">
        <f t="shared" si="4"/>
        <v>-13</v>
      </c>
      <c r="B50" s="539" t="s">
        <v>311</v>
      </c>
    </row>
    <row r="51" spans="1:8" x14ac:dyDescent="0.3">
      <c r="A51" s="538">
        <f t="shared" si="4"/>
        <v>-14</v>
      </c>
      <c r="B51" s="482" t="s">
        <v>312</v>
      </c>
    </row>
    <row r="52" spans="1:8" x14ac:dyDescent="0.3">
      <c r="A52" s="538">
        <f t="shared" si="4"/>
        <v>-15</v>
      </c>
      <c r="B52" s="482" t="s">
        <v>313</v>
      </c>
    </row>
    <row r="53" spans="1:8" x14ac:dyDescent="0.3">
      <c r="A53" s="538">
        <f t="shared" si="4"/>
        <v>-16</v>
      </c>
      <c r="B53" s="482" t="s">
        <v>314</v>
      </c>
    </row>
    <row r="54" spans="1:8" x14ac:dyDescent="0.3">
      <c r="A54" s="538">
        <f t="shared" si="4"/>
        <v>-17</v>
      </c>
      <c r="B54" s="482" t="s">
        <v>315</v>
      </c>
    </row>
    <row r="55" spans="1:8" x14ac:dyDescent="0.3">
      <c r="A55" s="538">
        <f t="shared" si="4"/>
        <v>-18</v>
      </c>
      <c r="B55" s="539" t="str">
        <f>IF('8-Non-Modeled Cat Loss Load'!B49='Drop Down Lists and Formatting'!A64,"= {[(13) + (14)] x [1 + (16)]} + (15) + (17)","= {(13) x [1 + (14)] x [1 + (16)]} + (15) + (17)")</f>
        <v>= {(13) x [1 + (14)] x [1 + (16)]} + (15) + (17)</v>
      </c>
      <c r="E55" s="482" t="str">
        <f>IF('8-Non-Modeled Cat Loss Load'!B49='Drop Down Lists and Formatting'!A64,"= {[(13) + (14)] x [1 + (16)]} + (15) + (17)","= {(13) x [1 + (14)] x [1 + (16)]} + (15) + (17)")</f>
        <v>= {(13) x [1 + (14)] x [1 + (16)]} + (15) + (17)</v>
      </c>
    </row>
    <row r="56" spans="1:8" x14ac:dyDescent="0.3">
      <c r="A56" s="538">
        <f t="shared" si="4"/>
        <v>-19</v>
      </c>
      <c r="B56" s="482" t="s">
        <v>315</v>
      </c>
    </row>
    <row r="57" spans="1:8" x14ac:dyDescent="0.3">
      <c r="A57" s="538">
        <f t="shared" si="4"/>
        <v>-20</v>
      </c>
      <c r="B57" s="539" t="s">
        <v>316</v>
      </c>
    </row>
    <row r="58" spans="1:8" x14ac:dyDescent="0.3">
      <c r="A58" s="538">
        <f t="shared" si="4"/>
        <v>-21</v>
      </c>
      <c r="B58" s="482" t="s">
        <v>317</v>
      </c>
    </row>
    <row r="59" spans="1:8" x14ac:dyDescent="0.3">
      <c r="A59" s="538">
        <f t="shared" si="4"/>
        <v>-22</v>
      </c>
      <c r="B59" s="482" t="s">
        <v>317</v>
      </c>
    </row>
    <row r="60" spans="1:8" x14ac:dyDescent="0.3">
      <c r="A60" s="538">
        <f>A59-1</f>
        <v>-23</v>
      </c>
      <c r="B60" s="539" t="s">
        <v>318</v>
      </c>
    </row>
    <row r="61" spans="1:8" x14ac:dyDescent="0.3">
      <c r="A61" s="538">
        <f>A60-1</f>
        <v>-24</v>
      </c>
      <c r="B61" s="263" t="s">
        <v>266</v>
      </c>
    </row>
    <row r="63" spans="1:8" x14ac:dyDescent="0.3">
      <c r="H63" s="520"/>
    </row>
  </sheetData>
  <sheetProtection sheet="1" insertRows="0"/>
  <mergeCells count="2">
    <mergeCell ref="A37:B37"/>
    <mergeCell ref="A5:L5"/>
  </mergeCells>
  <conditionalFormatting sqref="B11:B15 F11:F15">
    <cfRule type="expression" dxfId="137" priority="8">
      <formula>B11=""</formula>
    </cfRule>
  </conditionalFormatting>
  <conditionalFormatting sqref="K2:K3">
    <cfRule type="cellIs" dxfId="136" priority="1" operator="equal">
      <formula>""</formula>
    </cfRule>
  </conditionalFormatting>
  <conditionalFormatting sqref="K31">
    <cfRule type="expression" dxfId="135" priority="3">
      <formula>$K$31=""</formula>
    </cfRule>
  </conditionalFormatting>
  <conditionalFormatting sqref="L11:L15">
    <cfRule type="expression" dxfId="134" priority="95">
      <formula>$L11=""</formula>
    </cfRule>
  </conditionalFormatting>
  <conditionalFormatting sqref="L16">
    <cfRule type="expression" dxfId="133" priority="4">
      <formula>AND(NOT(L11=""),NOT(L12=""),NOT(L13=""),NOT(L14=""),NOT(L15=""),NOT(L16=1))</formula>
    </cfRule>
  </conditionalFormatting>
  <dataValidations disablePrompts="1" count="1">
    <dataValidation type="decimal" errorStyle="warning" showInputMessage="1" showErrorMessage="1" error="Accident Year Weights must add to 100%!" sqref="L16" xr:uid="{00000000-0002-0000-0800-000000000000}">
      <formula1>0.99</formula1>
      <formula2>1.01</formula2>
    </dataValidation>
  </dataValidations>
  <printOptions horizontalCentered="1"/>
  <pageMargins left="0.5" right="0.5" top="0.5" bottom="0.5" header="0.3" footer="0.3"/>
  <pageSetup scale="65" orientation="landscape" r:id="rId1"/>
  <rowBreaks count="1" manualBreakCount="1">
    <brk id="35" max="16383" man="1"/>
  </rowBreaks>
  <ignoredErrors>
    <ignoredError sqref="A9"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dimension ref="A1:E54"/>
  <sheetViews>
    <sheetView showGridLines="0" zoomScaleNormal="100" zoomScaleSheetLayoutView="100" zoomScalePageLayoutView="55" workbookViewId="0"/>
  </sheetViews>
  <sheetFormatPr defaultColWidth="8.88671875" defaultRowHeight="19.2" x14ac:dyDescent="0.45"/>
  <cols>
    <col min="1" max="1" width="8.33203125" style="257" customWidth="1"/>
    <col min="2" max="2" width="19.33203125" style="257" customWidth="1"/>
    <col min="3" max="3" width="19.109375" style="257" customWidth="1"/>
    <col min="4" max="4" width="19.33203125" style="257" customWidth="1"/>
    <col min="5" max="5" width="21.6640625" style="257" customWidth="1"/>
    <col min="6" max="6" width="8.88671875" style="257" customWidth="1"/>
    <col min="7" max="16384" width="8.88671875" style="257"/>
  </cols>
  <sheetData>
    <row r="1" spans="1:5" x14ac:dyDescent="0.45">
      <c r="A1" s="1055" t="str">
        <f>'General Information'!$A$1</f>
        <v>Texas Department of Insurance</v>
      </c>
      <c r="E1" s="482"/>
    </row>
    <row r="2" spans="1:5" x14ac:dyDescent="0.45">
      <c r="A2" s="1055" t="str">
        <f>'General Information'!$A$2</f>
        <v>Property and Casualty Rate Filing Exhibits</v>
      </c>
      <c r="D2" s="160" t="s">
        <v>97</v>
      </c>
      <c r="E2" s="1018" t="str">
        <f>'General Information'!$E$2</f>
        <v>Fill out Gen Info</v>
      </c>
    </row>
    <row r="3" spans="1:5" x14ac:dyDescent="0.45">
      <c r="A3" s="1055" t="str">
        <f>'General Information'!$A$3</f>
        <v>Rate Filing Template (2025 Edition)</v>
      </c>
      <c r="D3" s="160" t="s">
        <v>98</v>
      </c>
      <c r="E3" s="1018" t="str">
        <f>'General Information'!$E$3</f>
        <v>Fill out Gen Info</v>
      </c>
    </row>
    <row r="5" spans="1:5" x14ac:dyDescent="0.45">
      <c r="A5" s="1132" t="s">
        <v>319</v>
      </c>
      <c r="B5" s="1133"/>
      <c r="C5" s="1133"/>
      <c r="D5" s="1133"/>
      <c r="E5" s="1133"/>
    </row>
    <row r="7" spans="1:5" x14ac:dyDescent="0.45">
      <c r="E7" s="160"/>
    </row>
    <row r="8" spans="1:5" x14ac:dyDescent="0.45">
      <c r="B8" s="1070">
        <v>1</v>
      </c>
      <c r="C8" s="1070">
        <f>B8+1</f>
        <v>2</v>
      </c>
      <c r="D8" s="1070">
        <f>C8+1</f>
        <v>3</v>
      </c>
      <c r="E8" s="1070">
        <f>D8+1</f>
        <v>4</v>
      </c>
    </row>
    <row r="9" spans="1:5" ht="57.6" customHeight="1" x14ac:dyDescent="0.45">
      <c r="B9" s="1022" t="str">
        <f>'1-Indication'!A10</f>
        <v xml:space="preserve"> Ending</v>
      </c>
      <c r="C9" s="1025" t="s">
        <v>320</v>
      </c>
      <c r="D9" s="1019" t="s">
        <v>286</v>
      </c>
      <c r="E9" s="1024" t="s">
        <v>321</v>
      </c>
    </row>
    <row r="10" spans="1:5" x14ac:dyDescent="0.45">
      <c r="B10" s="556" t="str">
        <f>'1-Indication'!A11</f>
        <v>__ /__ /20__</v>
      </c>
      <c r="C10" s="1066">
        <f>'1-Indication'!B11</f>
        <v>0</v>
      </c>
      <c r="D10" s="1062"/>
      <c r="E10" s="558">
        <f>C10*D10</f>
        <v>0</v>
      </c>
    </row>
    <row r="11" spans="1:5" x14ac:dyDescent="0.45">
      <c r="B11" s="561" t="str">
        <f>'1-Indication'!A12</f>
        <v>__ /__ /20__</v>
      </c>
      <c r="C11" s="1067">
        <f>'1-Indication'!B12</f>
        <v>0</v>
      </c>
      <c r="D11" s="1063"/>
      <c r="E11" s="497">
        <f>C11*D11</f>
        <v>0</v>
      </c>
    </row>
    <row r="12" spans="1:5" x14ac:dyDescent="0.45">
      <c r="B12" s="556" t="str">
        <f>'1-Indication'!A13</f>
        <v>__ /__ /20__</v>
      </c>
      <c r="C12" s="1068">
        <f>'1-Indication'!B13</f>
        <v>0</v>
      </c>
      <c r="D12" s="1064"/>
      <c r="E12" s="503">
        <f>C12*D12</f>
        <v>0</v>
      </c>
    </row>
    <row r="13" spans="1:5" x14ac:dyDescent="0.45">
      <c r="B13" s="561" t="str">
        <f>'1-Indication'!A14</f>
        <v>__ /__ /20__</v>
      </c>
      <c r="C13" s="1067">
        <f>'1-Indication'!B14</f>
        <v>0</v>
      </c>
      <c r="D13" s="1063"/>
      <c r="E13" s="497">
        <f>C13*D13</f>
        <v>0</v>
      </c>
    </row>
    <row r="14" spans="1:5" x14ac:dyDescent="0.45">
      <c r="B14" s="564" t="str">
        <f>'1-Indication'!A15</f>
        <v>__ /__ /20__</v>
      </c>
      <c r="C14" s="1069">
        <f>'1-Indication'!B15</f>
        <v>0</v>
      </c>
      <c r="D14" s="1065"/>
      <c r="E14" s="509">
        <f>C14*D14</f>
        <v>0</v>
      </c>
    </row>
    <row r="16" spans="1:5" x14ac:dyDescent="0.45">
      <c r="B16" s="1070">
        <f>E8+1</f>
        <v>5</v>
      </c>
      <c r="C16" s="1070">
        <f>B16+1</f>
        <v>6</v>
      </c>
    </row>
    <row r="17" spans="1:5" x14ac:dyDescent="0.45">
      <c r="B17" s="1173" t="s">
        <v>322</v>
      </c>
      <c r="C17" s="1174"/>
    </row>
    <row r="18" spans="1:5" x14ac:dyDescent="0.45">
      <c r="B18" s="551" t="s">
        <v>323</v>
      </c>
      <c r="C18" s="552" t="s">
        <v>210</v>
      </c>
    </row>
    <row r="19" spans="1:5" x14ac:dyDescent="0.45">
      <c r="B19" s="554"/>
      <c r="C19" s="555"/>
    </row>
    <row r="20" spans="1:5" x14ac:dyDescent="0.45">
      <c r="B20" s="559"/>
      <c r="C20" s="560"/>
    </row>
    <row r="21" spans="1:5" x14ac:dyDescent="0.45">
      <c r="B21" s="562"/>
      <c r="C21" s="563"/>
    </row>
    <row r="22" spans="1:5" x14ac:dyDescent="0.45">
      <c r="B22" s="559"/>
      <c r="C22" s="560"/>
    </row>
    <row r="23" spans="1:5" x14ac:dyDescent="0.45">
      <c r="B23" s="562"/>
      <c r="C23" s="563"/>
    </row>
    <row r="24" spans="1:5" x14ac:dyDescent="0.45">
      <c r="B24" s="559"/>
      <c r="C24" s="560"/>
    </row>
    <row r="25" spans="1:5" x14ac:dyDescent="0.45">
      <c r="B25" s="562"/>
      <c r="C25" s="563"/>
    </row>
    <row r="26" spans="1:5" x14ac:dyDescent="0.45">
      <c r="B26" s="559"/>
      <c r="C26" s="560"/>
    </row>
    <row r="27" spans="1:5" x14ac:dyDescent="0.45">
      <c r="B27" s="562"/>
      <c r="C27" s="563"/>
    </row>
    <row r="28" spans="1:5" x14ac:dyDescent="0.45">
      <c r="B28" s="559"/>
      <c r="C28" s="560"/>
    </row>
    <row r="29" spans="1:5" x14ac:dyDescent="0.45">
      <c r="B29" s="562"/>
      <c r="C29" s="563"/>
    </row>
    <row r="30" spans="1:5" x14ac:dyDescent="0.45">
      <c r="A30" s="307"/>
      <c r="B30" s="566"/>
      <c r="C30" s="567"/>
    </row>
    <row r="31" spans="1:5" x14ac:dyDescent="0.45">
      <c r="A31" s="569"/>
    </row>
    <row r="32" spans="1:5" ht="19.2" customHeight="1" x14ac:dyDescent="0.45">
      <c r="A32" s="1241" t="s">
        <v>324</v>
      </c>
      <c r="B32" s="1242"/>
      <c r="C32" s="1242"/>
      <c r="D32" s="1242"/>
      <c r="E32" s="1243"/>
    </row>
    <row r="33" spans="1:5" x14ac:dyDescent="0.45">
      <c r="A33" s="1244" t="s">
        <v>35</v>
      </c>
      <c r="B33" s="1245"/>
      <c r="C33" s="1245"/>
      <c r="D33" s="1245"/>
      <c r="E33" s="1246"/>
    </row>
    <row r="34" spans="1:5" ht="38.4" customHeight="1" x14ac:dyDescent="0.45">
      <c r="A34" s="1247" t="s">
        <v>325</v>
      </c>
      <c r="B34" s="1248"/>
      <c r="C34" s="1248"/>
      <c r="D34" s="1248"/>
      <c r="E34" s="1249"/>
    </row>
    <row r="35" spans="1:5" x14ac:dyDescent="0.45">
      <c r="A35" s="1232"/>
      <c r="B35" s="1233"/>
      <c r="C35" s="1233"/>
      <c r="D35" s="1233"/>
      <c r="E35" s="1234"/>
    </row>
    <row r="36" spans="1:5" x14ac:dyDescent="0.45">
      <c r="A36" s="1235"/>
      <c r="B36" s="1236"/>
      <c r="C36" s="1236"/>
      <c r="D36" s="1236"/>
      <c r="E36" s="1237"/>
    </row>
    <row r="37" spans="1:5" x14ac:dyDescent="0.45">
      <c r="A37" s="1235"/>
      <c r="B37" s="1236"/>
      <c r="C37" s="1236"/>
      <c r="D37" s="1236"/>
      <c r="E37" s="1237"/>
    </row>
    <row r="38" spans="1:5" x14ac:dyDescent="0.45">
      <c r="A38" s="1235"/>
      <c r="B38" s="1236"/>
      <c r="C38" s="1236"/>
      <c r="D38" s="1236"/>
      <c r="E38" s="1237"/>
    </row>
    <row r="39" spans="1:5" x14ac:dyDescent="0.45">
      <c r="A39" s="1238"/>
      <c r="B39" s="1239"/>
      <c r="C39" s="1239"/>
      <c r="D39" s="1239"/>
      <c r="E39" s="1240"/>
    </row>
    <row r="47" spans="1:5" x14ac:dyDescent="0.45">
      <c r="A47" s="1082"/>
      <c r="B47" s="1082"/>
      <c r="C47" s="1082"/>
      <c r="D47" s="1082"/>
      <c r="E47" s="1082"/>
    </row>
    <row r="48" spans="1:5" x14ac:dyDescent="0.45">
      <c r="A48" s="370" t="s">
        <v>301</v>
      </c>
    </row>
    <row r="49" spans="1:2" x14ac:dyDescent="0.45">
      <c r="A49" s="369">
        <v>1</v>
      </c>
      <c r="B49" s="376" t="s">
        <v>326</v>
      </c>
    </row>
    <row r="50" spans="1:2" x14ac:dyDescent="0.45">
      <c r="A50" s="369">
        <f>A49+1</f>
        <v>2</v>
      </c>
      <c r="B50" s="376" t="s">
        <v>326</v>
      </c>
    </row>
    <row r="51" spans="1:2" x14ac:dyDescent="0.45">
      <c r="A51" s="369">
        <f>A50+1</f>
        <v>3</v>
      </c>
      <c r="B51" s="570" t="s">
        <v>266</v>
      </c>
    </row>
    <row r="52" spans="1:2" x14ac:dyDescent="0.45">
      <c r="A52" s="369">
        <f>A51+1</f>
        <v>4</v>
      </c>
      <c r="B52" s="569" t="s">
        <v>327</v>
      </c>
    </row>
    <row r="53" spans="1:2" x14ac:dyDescent="0.45">
      <c r="A53" s="369">
        <f>A52+1</f>
        <v>5</v>
      </c>
      <c r="B53" s="570" t="s">
        <v>266</v>
      </c>
    </row>
    <row r="54" spans="1:2" x14ac:dyDescent="0.45">
      <c r="A54" s="369">
        <f>A53+1</f>
        <v>6</v>
      </c>
      <c r="B54" s="570" t="s">
        <v>266</v>
      </c>
    </row>
  </sheetData>
  <sheetProtection sheet="1" objects="1" scenarios="1"/>
  <mergeCells count="6">
    <mergeCell ref="A35:E39"/>
    <mergeCell ref="A5:E5"/>
    <mergeCell ref="B17:C17"/>
    <mergeCell ref="A32:E32"/>
    <mergeCell ref="A33:E33"/>
    <mergeCell ref="A34:E34"/>
  </mergeCells>
  <conditionalFormatting sqref="A34">
    <cfRule type="expression" dxfId="131" priority="172">
      <formula>$A$33=$A$35</formula>
    </cfRule>
  </conditionalFormatting>
  <conditionalFormatting sqref="A35:E39">
    <cfRule type="expression" dxfId="130" priority="1">
      <formula>AND($A$33="Other",ISBLANK($A$35))</formula>
    </cfRule>
  </conditionalFormatting>
  <conditionalFormatting sqref="B19:C30">
    <cfRule type="expression" dxfId="129" priority="168">
      <formula>B$19=""</formula>
    </cfRule>
  </conditionalFormatting>
  <conditionalFormatting sqref="D10:D14">
    <cfRule type="expression" dxfId="128" priority="7">
      <formula>D10=""</formula>
    </cfRule>
  </conditionalFormatting>
  <conditionalFormatting sqref="E2:E3">
    <cfRule type="cellIs" dxfId="127" priority="2" operator="equal">
      <formula>""</formula>
    </cfRule>
  </conditionalFormatting>
  <printOptions horizontalCentered="1"/>
  <pageMargins left="0.25" right="0.25" top="0.75" bottom="0.75" header="0.3" footer="0.3"/>
  <pageSetup fitToWidth="0" fitToHeight="0" orientation="portrait" r:id="rId1"/>
  <rowBreaks count="1" manualBreakCount="1">
    <brk id="30"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81" id="{00000000-000E-0000-0B00-00000A000000}">
            <xm:f>$A$33='Drop Down Lists and Formatting'!$A$99</xm:f>
            <x14:dxf>
              <fill>
                <patternFill>
                  <bgColor rgb="FFFFFF00"/>
                </patternFill>
              </fill>
            </x14:dxf>
          </x14:cfRule>
          <xm:sqref>A33</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xr:uid="{00000000-0002-0000-0900-000000000000}">
          <x14:formula1>
            <xm:f>'Drop Down Lists and Formatting'!$A$99:$A$102</xm:f>
          </x14:formula1>
          <xm:sqref>A33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B31E4-19D2-4465-877B-0F0AA332AE40}">
  <sheetPr codeName="Sheet27"/>
  <dimension ref="A1:G40"/>
  <sheetViews>
    <sheetView zoomScaleNormal="100" zoomScaleSheetLayoutView="85" zoomScalePageLayoutView="55" workbookViewId="0"/>
  </sheetViews>
  <sheetFormatPr defaultColWidth="17.44140625" defaultRowHeight="19.2" x14ac:dyDescent="0.45"/>
  <cols>
    <col min="1" max="1" width="4.109375" style="257" customWidth="1"/>
    <col min="2" max="16384" width="17.44140625" style="257"/>
  </cols>
  <sheetData>
    <row r="1" spans="1:7" x14ac:dyDescent="0.45">
      <c r="A1" s="1055" t="str">
        <f>'General Information'!$A$1</f>
        <v>Texas Department of Insurance</v>
      </c>
    </row>
    <row r="2" spans="1:7" x14ac:dyDescent="0.45">
      <c r="A2" s="1055" t="str">
        <f>'General Information'!$A$2</f>
        <v>Property and Casualty Rate Filing Exhibits</v>
      </c>
      <c r="F2" s="160" t="s">
        <v>97</v>
      </c>
      <c r="G2" s="1018" t="str">
        <f>'General Information'!$E$2</f>
        <v>Fill out Gen Info</v>
      </c>
    </row>
    <row r="3" spans="1:7" x14ac:dyDescent="0.45">
      <c r="A3" s="1055" t="str">
        <f>'General Information'!$A$3</f>
        <v>Rate Filing Template (2025 Edition)</v>
      </c>
      <c r="F3" s="160" t="s">
        <v>98</v>
      </c>
      <c r="G3" s="1018" t="str">
        <f>'General Information'!$E$3</f>
        <v>Fill out Gen Info</v>
      </c>
    </row>
    <row r="5" spans="1:7" x14ac:dyDescent="0.45">
      <c r="A5" s="1132" t="s">
        <v>328</v>
      </c>
      <c r="B5" s="1133"/>
      <c r="C5" s="1133"/>
      <c r="D5" s="1133"/>
      <c r="E5" s="1133"/>
      <c r="F5" s="1133"/>
      <c r="G5" s="1133"/>
    </row>
    <row r="7" spans="1:7" x14ac:dyDescent="0.45">
      <c r="F7" s="160"/>
      <c r="G7" s="289"/>
    </row>
    <row r="8" spans="1:7" x14ac:dyDescent="0.45">
      <c r="A8" s="478"/>
      <c r="B8" s="1132" t="s">
        <v>329</v>
      </c>
      <c r="C8" s="1132"/>
      <c r="D8" s="1132"/>
      <c r="E8" s="1132"/>
    </row>
    <row r="9" spans="1:7" x14ac:dyDescent="0.45">
      <c r="A9" s="478">
        <v>-1</v>
      </c>
      <c r="B9" s="1099" t="s">
        <v>330</v>
      </c>
      <c r="C9" s="571"/>
      <c r="D9" s="572"/>
      <c r="E9" s="573" t="str">
        <f>IF(ISBLANK('General Information'!B20)=TRUE,"Fill out Gen Info",'General Information'!B20-182.625)</f>
        <v>Fill out Gen Info</v>
      </c>
    </row>
    <row r="10" spans="1:7" x14ac:dyDescent="0.45">
      <c r="A10" s="307">
        <f>A9-1</f>
        <v>-2</v>
      </c>
      <c r="B10" s="574" t="s">
        <v>331</v>
      </c>
      <c r="C10" s="571"/>
      <c r="D10" s="572"/>
      <c r="E10" s="575"/>
    </row>
    <row r="11" spans="1:7" x14ac:dyDescent="0.45">
      <c r="A11" s="307">
        <f>A10-1</f>
        <v>-3</v>
      </c>
      <c r="B11" s="576" t="s">
        <v>332</v>
      </c>
      <c r="C11" s="571"/>
      <c r="D11" s="572"/>
      <c r="E11" s="575"/>
    </row>
    <row r="12" spans="1:7" x14ac:dyDescent="0.45">
      <c r="A12" s="307">
        <f>A11-1</f>
        <v>-4</v>
      </c>
      <c r="B12" s="574" t="s">
        <v>333</v>
      </c>
      <c r="C12" s="571"/>
      <c r="D12" s="572"/>
      <c r="E12" s="573" t="str">
        <f>IF(OR(E10="",E11="",E10="Other",E11="Other",E10="Fill Gen Info",E11="Fill Gen Info"),"Alternate Date",'General Information'!B25+365*AVERAGE(E10:E11)/12)</f>
        <v>Alternate Date</v>
      </c>
    </row>
    <row r="13" spans="1:7" x14ac:dyDescent="0.45">
      <c r="A13" s="307">
        <f>A12-1</f>
        <v>-5</v>
      </c>
      <c r="B13" s="1102" t="s">
        <v>334</v>
      </c>
      <c r="C13" s="571"/>
      <c r="D13" s="572"/>
      <c r="E13" s="577"/>
    </row>
    <row r="14" spans="1:7" x14ac:dyDescent="0.45">
      <c r="A14" s="478"/>
      <c r="B14" s="1101"/>
      <c r="C14" s="273"/>
      <c r="D14" s="273"/>
    </row>
    <row r="15" spans="1:7" s="863" customFormat="1" x14ac:dyDescent="0.45">
      <c r="A15" s="478"/>
      <c r="B15" s="1101"/>
      <c r="C15" s="273"/>
      <c r="D15" s="273"/>
      <c r="E15" s="257"/>
      <c r="F15" s="257"/>
      <c r="G15" s="257"/>
    </row>
    <row r="16" spans="1:7" x14ac:dyDescent="0.45">
      <c r="A16" s="478"/>
      <c r="B16" s="350">
        <f>A13-1</f>
        <v>-6</v>
      </c>
      <c r="C16" s="291">
        <f>B16-1</f>
        <v>-7</v>
      </c>
      <c r="D16" s="291">
        <f>C16-1</f>
        <v>-8</v>
      </c>
    </row>
    <row r="17" spans="1:7" ht="57.6" x14ac:dyDescent="0.45">
      <c r="A17" s="478"/>
      <c r="B17" s="1022" t="str">
        <f>'1-Indication'!A10</f>
        <v xml:space="preserve"> Ending</v>
      </c>
      <c r="C17" s="1022" t="s">
        <v>335</v>
      </c>
      <c r="D17" s="1022" t="s">
        <v>336</v>
      </c>
    </row>
    <row r="18" spans="1:7" x14ac:dyDescent="0.45">
      <c r="A18" s="478"/>
      <c r="B18" s="578" t="str">
        <f>'1-Indication'!A11</f>
        <v>__ /__ /20__</v>
      </c>
      <c r="C18" s="579">
        <f t="shared" ref="C18:C20" si="0">C19+1</f>
        <v>4</v>
      </c>
      <c r="D18" s="580">
        <f>D19</f>
        <v>0</v>
      </c>
    </row>
    <row r="19" spans="1:7" x14ac:dyDescent="0.45">
      <c r="A19" s="478"/>
      <c r="B19" s="581" t="str">
        <f>'1-Indication'!A12</f>
        <v>__ /__ /20__</v>
      </c>
      <c r="C19" s="582">
        <f t="shared" si="0"/>
        <v>3</v>
      </c>
      <c r="D19" s="583">
        <f t="shared" ref="D19:D20" si="1">D20</f>
        <v>0</v>
      </c>
    </row>
    <row r="20" spans="1:7" x14ac:dyDescent="0.45">
      <c r="A20" s="478"/>
      <c r="B20" s="584" t="str">
        <f>'1-Indication'!A13</f>
        <v>__ /__ /20__</v>
      </c>
      <c r="C20" s="585">
        <f t="shared" si="0"/>
        <v>2</v>
      </c>
      <c r="D20" s="586">
        <f t="shared" si="1"/>
        <v>0</v>
      </c>
    </row>
    <row r="21" spans="1:7" x14ac:dyDescent="0.45">
      <c r="A21" s="478"/>
      <c r="B21" s="581" t="str">
        <f>'1-Indication'!A14</f>
        <v>__ /__ /20__</v>
      </c>
      <c r="C21" s="582">
        <f>C22+1</f>
        <v>1</v>
      </c>
      <c r="D21" s="583">
        <f>D22</f>
        <v>0</v>
      </c>
    </row>
    <row r="22" spans="1:7" x14ac:dyDescent="0.45">
      <c r="A22" s="478"/>
      <c r="B22" s="587" t="str">
        <f>'1-Indication'!A15</f>
        <v>__ /__ /20__</v>
      </c>
      <c r="C22" s="588">
        <v>0</v>
      </c>
      <c r="D22" s="589">
        <f>IFERROR(YEARFRAC(E9,IF(ISBLANK(E13)=TRUE,E12,E13)),0)</f>
        <v>0</v>
      </c>
    </row>
    <row r="23" spans="1:7" x14ac:dyDescent="0.45">
      <c r="A23" s="478"/>
      <c r="B23" s="1101"/>
      <c r="C23" s="273"/>
      <c r="D23" s="273"/>
    </row>
    <row r="24" spans="1:7" x14ac:dyDescent="0.45">
      <c r="B24" s="350"/>
      <c r="C24" s="291"/>
      <c r="D24" s="291"/>
      <c r="E24" s="291"/>
      <c r="F24" s="291"/>
      <c r="G24" s="291"/>
    </row>
    <row r="25" spans="1:7" x14ac:dyDescent="0.45">
      <c r="A25" s="523">
        <f>D16-1</f>
        <v>-9</v>
      </c>
      <c r="B25" s="1250" t="s">
        <v>337</v>
      </c>
      <c r="C25" s="1250"/>
      <c r="D25" s="1250"/>
      <c r="E25" s="1250"/>
      <c r="F25" s="1250"/>
      <c r="G25" s="1250"/>
    </row>
    <row r="26" spans="1:7" x14ac:dyDescent="0.45">
      <c r="B26" s="1250"/>
      <c r="C26" s="1250"/>
      <c r="D26" s="1250"/>
      <c r="E26" s="1250"/>
      <c r="F26" s="1250"/>
      <c r="G26" s="1250"/>
    </row>
    <row r="27" spans="1:7" x14ac:dyDescent="0.45">
      <c r="B27" s="1250"/>
      <c r="C27" s="1250"/>
      <c r="D27" s="1250"/>
      <c r="E27" s="1250"/>
      <c r="F27" s="1250"/>
      <c r="G27" s="1250"/>
    </row>
    <row r="28" spans="1:7" s="863" customFormat="1" x14ac:dyDescent="0.45">
      <c r="A28" s="257"/>
      <c r="B28" s="1251"/>
      <c r="C28" s="1252"/>
      <c r="D28" s="1252"/>
      <c r="E28" s="1252"/>
      <c r="F28" s="1252"/>
      <c r="G28" s="1253"/>
    </row>
    <row r="29" spans="1:7" s="863" customFormat="1" x14ac:dyDescent="0.45">
      <c r="A29" s="257"/>
      <c r="B29" s="1180"/>
      <c r="C29" s="1181"/>
      <c r="D29" s="1181"/>
      <c r="E29" s="1181"/>
      <c r="F29" s="1181"/>
      <c r="G29" s="1182"/>
    </row>
    <row r="30" spans="1:7" x14ac:dyDescent="0.45">
      <c r="B30" s="1183"/>
      <c r="C30" s="1184"/>
      <c r="D30" s="1184"/>
      <c r="E30" s="1184"/>
      <c r="F30" s="1184"/>
      <c r="G30" s="1185"/>
    </row>
    <row r="32" spans="1:7" x14ac:dyDescent="0.45">
      <c r="B32" s="274" t="s">
        <v>301</v>
      </c>
    </row>
    <row r="33" spans="1:2" x14ac:dyDescent="0.45">
      <c r="A33" s="590">
        <v>-1</v>
      </c>
      <c r="B33" s="257" t="s">
        <v>338</v>
      </c>
    </row>
    <row r="34" spans="1:2" x14ac:dyDescent="0.45">
      <c r="A34" s="590">
        <f>A33-1</f>
        <v>-2</v>
      </c>
      <c r="B34" s="257" t="s">
        <v>339</v>
      </c>
    </row>
    <row r="35" spans="1:2" x14ac:dyDescent="0.45">
      <c r="A35" s="590">
        <f t="shared" ref="A35:A37" si="2">A34-1</f>
        <v>-3</v>
      </c>
      <c r="B35" s="257" t="s">
        <v>339</v>
      </c>
    </row>
    <row r="36" spans="1:2" x14ac:dyDescent="0.45">
      <c r="A36" s="590">
        <f>A35-1</f>
        <v>-4</v>
      </c>
      <c r="B36" s="257" t="s">
        <v>971</v>
      </c>
    </row>
    <row r="37" spans="1:2" x14ac:dyDescent="0.45">
      <c r="A37" s="590">
        <f t="shared" si="2"/>
        <v>-5</v>
      </c>
      <c r="B37" s="257" t="s">
        <v>972</v>
      </c>
    </row>
    <row r="38" spans="1:2" x14ac:dyDescent="0.45">
      <c r="A38" s="590">
        <f>A37-1</f>
        <v>-6</v>
      </c>
      <c r="B38" s="257" t="s">
        <v>340</v>
      </c>
    </row>
    <row r="39" spans="1:2" x14ac:dyDescent="0.45">
      <c r="A39" s="590">
        <f t="shared" ref="A39:A40" si="3">A38-1</f>
        <v>-7</v>
      </c>
      <c r="B39" s="257" t="s">
        <v>341</v>
      </c>
    </row>
    <row r="40" spans="1:2" x14ac:dyDescent="0.45">
      <c r="A40" s="590">
        <f t="shared" si="3"/>
        <v>-8</v>
      </c>
      <c r="B40" s="257" t="s">
        <v>342</v>
      </c>
    </row>
  </sheetData>
  <sheetProtection sheet="1" objects="1" scenarios="1"/>
  <mergeCells count="4">
    <mergeCell ref="B25:G27"/>
    <mergeCell ref="B8:E8"/>
    <mergeCell ref="B28:G30"/>
    <mergeCell ref="A5:G5"/>
  </mergeCells>
  <conditionalFormatting sqref="B28:B29">
    <cfRule type="expression" dxfId="126" priority="7">
      <formula>$B$28=""</formula>
    </cfRule>
  </conditionalFormatting>
  <conditionalFormatting sqref="D12">
    <cfRule type="expression" dxfId="125" priority="4">
      <formula>$E$12="Enter Data on Gen Info Tab"</formula>
    </cfRule>
  </conditionalFormatting>
  <conditionalFormatting sqref="E10:E11">
    <cfRule type="cellIs" dxfId="124" priority="2" operator="equal">
      <formula>0</formula>
    </cfRule>
  </conditionalFormatting>
  <conditionalFormatting sqref="E12">
    <cfRule type="cellIs" dxfId="123" priority="5" operator="equal">
      <formula>"Enter Data on Gen Info Tab"</formula>
    </cfRule>
  </conditionalFormatting>
  <conditionalFormatting sqref="E13">
    <cfRule type="expression" dxfId="122" priority="3">
      <formula>ISBLANK($E$13)=TRUE()</formula>
    </cfRule>
  </conditionalFormatting>
  <conditionalFormatting sqref="G2:G3">
    <cfRule type="cellIs" dxfId="121" priority="1" operator="equal">
      <formula>""</formula>
    </cfRule>
  </conditionalFormatting>
  <dataValidations count="2">
    <dataValidation type="date" allowBlank="1" showInputMessage="1" showErrorMessage="1" sqref="E13" xr:uid="{0725F574-49D0-4CC3-954A-51C4D779895A}">
      <formula1>1</formula1>
      <formula2>73051</formula2>
    </dataValidation>
    <dataValidation type="list" allowBlank="1" showInputMessage="1" showErrorMessage="1" sqref="E10:E11" xr:uid="{086BA6B7-39D0-4F52-AB84-96B292C40E33}">
      <formula1>Rate_Rev_Freq</formula1>
    </dataValidation>
  </dataValidations>
  <pageMargins left="0.25" right="0.25" top="0.75" bottom="0.75" header="0.3" footer="0.3"/>
  <pageSetup scale="84"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dimension ref="A1:O64"/>
  <sheetViews>
    <sheetView showGridLines="0" topLeftCell="B1" zoomScaleNormal="100" zoomScaleSheetLayoutView="100" zoomScalePageLayoutView="55" workbookViewId="0">
      <selection activeCell="B1" sqref="B1"/>
    </sheetView>
  </sheetViews>
  <sheetFormatPr defaultColWidth="8.88671875" defaultRowHeight="19.2" x14ac:dyDescent="0.45"/>
  <cols>
    <col min="1" max="1" width="5.44140625" style="273" hidden="1" customWidth="1"/>
    <col min="2" max="4" width="13.6640625" style="273" customWidth="1"/>
    <col min="5" max="5" width="7.33203125" style="273" customWidth="1"/>
    <col min="6" max="7" width="13.6640625" style="273" customWidth="1"/>
    <col min="8" max="8" width="14.44140625" style="273" customWidth="1"/>
    <col min="9" max="9" width="7.33203125" style="273" customWidth="1"/>
    <col min="10" max="11" width="8.6640625" style="273" customWidth="1"/>
    <col min="12" max="13" width="13.109375" style="273" customWidth="1"/>
    <col min="14" max="14" width="19.5546875" style="273" customWidth="1"/>
    <col min="15" max="16384" width="8.88671875" style="273"/>
  </cols>
  <sheetData>
    <row r="1" spans="1:14" x14ac:dyDescent="0.45">
      <c r="B1" s="1055" t="str">
        <f>'General Information'!$A$1</f>
        <v>Texas Department of Insurance</v>
      </c>
    </row>
    <row r="2" spans="1:14" x14ac:dyDescent="0.45">
      <c r="B2" s="1055" t="str">
        <f>'General Information'!$A$2</f>
        <v>Property and Casualty Rate Filing Exhibits</v>
      </c>
      <c r="G2" s="160" t="s">
        <v>97</v>
      </c>
      <c r="H2" s="1018" t="str">
        <f>'General Information'!$E$2</f>
        <v>Fill out Gen Info</v>
      </c>
    </row>
    <row r="3" spans="1:14" x14ac:dyDescent="0.45">
      <c r="B3" s="1055" t="str">
        <f>'General Information'!$A$3</f>
        <v>Rate Filing Template (2025 Edition)</v>
      </c>
      <c r="G3" s="160" t="s">
        <v>98</v>
      </c>
      <c r="H3" s="1018" t="str">
        <f>'General Information'!$E$3</f>
        <v>Fill out Gen Info</v>
      </c>
    </row>
    <row r="4" spans="1:14" x14ac:dyDescent="0.45">
      <c r="B4" s="257"/>
    </row>
    <row r="5" spans="1:14" x14ac:dyDescent="0.45">
      <c r="B5" s="1132" t="s">
        <v>343</v>
      </c>
      <c r="C5" s="1133"/>
      <c r="D5" s="1133"/>
      <c r="E5" s="1133"/>
      <c r="F5" s="1133"/>
      <c r="G5" s="1133"/>
      <c r="H5" s="1133"/>
      <c r="I5" s="1133"/>
      <c r="J5" s="1037"/>
      <c r="K5" s="1037"/>
      <c r="L5" s="1037"/>
      <c r="M5" s="1037"/>
      <c r="N5" s="1037"/>
    </row>
    <row r="6" spans="1:14" x14ac:dyDescent="0.45">
      <c r="B6" s="591"/>
      <c r="C6" s="592"/>
      <c r="D6" s="592"/>
    </row>
    <row r="7" spans="1:14" x14ac:dyDescent="0.45">
      <c r="A7" s="288"/>
      <c r="C7" s="550">
        <v>-1</v>
      </c>
      <c r="D7" s="550">
        <f>C7-1</f>
        <v>-2</v>
      </c>
    </row>
    <row r="8" spans="1:14" x14ac:dyDescent="0.45">
      <c r="B8" s="1173" t="s">
        <v>344</v>
      </c>
      <c r="C8" s="1260"/>
      <c r="D8" s="1174"/>
      <c r="F8" s="1173" t="s">
        <v>345</v>
      </c>
      <c r="G8" s="1260"/>
      <c r="H8" s="1174"/>
    </row>
    <row r="9" spans="1:14" s="268" customFormat="1" ht="57.6" x14ac:dyDescent="0.3">
      <c r="A9" s="593" t="s">
        <v>346</v>
      </c>
      <c r="B9" s="594" t="s">
        <v>347</v>
      </c>
      <c r="C9" s="594" t="s">
        <v>348</v>
      </c>
      <c r="D9" s="594" t="s">
        <v>349</v>
      </c>
      <c r="F9" s="594" t="str">
        <f>B9</f>
        <v>Calendar Quarter</v>
      </c>
      <c r="G9" s="595" t="s">
        <v>350</v>
      </c>
      <c r="H9" s="328" t="s">
        <v>351</v>
      </c>
    </row>
    <row r="10" spans="1:14" x14ac:dyDescent="0.45">
      <c r="A10" s="596">
        <v>0.25</v>
      </c>
      <c r="B10" s="597" t="str">
        <f>'5A-Loss Trend'!C10</f>
        <v>_Q 20__</v>
      </c>
      <c r="C10" s="598"/>
      <c r="D10" s="599"/>
      <c r="F10" s="597" t="str">
        <f>B10</f>
        <v>_Q 20__</v>
      </c>
      <c r="G10" s="600">
        <f>IFERROR(D10/C10,0)</f>
        <v>0</v>
      </c>
      <c r="H10" s="601"/>
      <c r="J10" s="602"/>
    </row>
    <row r="11" spans="1:14" x14ac:dyDescent="0.45">
      <c r="A11" s="596">
        <f>A10+0.25</f>
        <v>0.5</v>
      </c>
      <c r="B11" s="603" t="str">
        <f>'5A-Loss Trend'!C11</f>
        <v>_Q 20__</v>
      </c>
      <c r="C11" s="604"/>
      <c r="D11" s="605"/>
      <c r="F11" s="606" t="str">
        <f t="shared" ref="F11:F32" si="0">B11</f>
        <v>_Q 20__</v>
      </c>
      <c r="G11" s="607">
        <f t="shared" ref="G11:G33" si="1">IFERROR(D11/C11,0)</f>
        <v>0</v>
      </c>
      <c r="H11" s="608"/>
      <c r="J11" s="602"/>
    </row>
    <row r="12" spans="1:14" x14ac:dyDescent="0.45">
      <c r="A12" s="596">
        <f t="shared" ref="A12:A33" si="2">A11+0.25</f>
        <v>0.75</v>
      </c>
      <c r="B12" s="597" t="str">
        <f>'5A-Loss Trend'!C12</f>
        <v>_Q 20__</v>
      </c>
      <c r="C12" s="609"/>
      <c r="D12" s="610"/>
      <c r="F12" s="611" t="str">
        <f t="shared" si="0"/>
        <v>_Q 20__</v>
      </c>
      <c r="G12" s="612">
        <f t="shared" si="1"/>
        <v>0</v>
      </c>
      <c r="H12" s="608"/>
      <c r="J12" s="602"/>
    </row>
    <row r="13" spans="1:14" x14ac:dyDescent="0.45">
      <c r="A13" s="596">
        <f t="shared" si="2"/>
        <v>1</v>
      </c>
      <c r="B13" s="603" t="str">
        <f>'5A-Loss Trend'!C13</f>
        <v>_Q 20__</v>
      </c>
      <c r="C13" s="604"/>
      <c r="D13" s="605"/>
      <c r="F13" s="606" t="str">
        <f t="shared" si="0"/>
        <v>_Q 20__</v>
      </c>
      <c r="G13" s="607">
        <f>IFERROR(D13/C13,0)</f>
        <v>0</v>
      </c>
      <c r="H13" s="613">
        <f>IFERROR(SUM(D10:D13)/SUM(C10:C13),0)</f>
        <v>0</v>
      </c>
      <c r="J13" s="602"/>
    </row>
    <row r="14" spans="1:14" x14ac:dyDescent="0.45">
      <c r="A14" s="596">
        <f t="shared" si="2"/>
        <v>1.25</v>
      </c>
      <c r="B14" s="597" t="str">
        <f>'5A-Loss Trend'!C14</f>
        <v>_Q 20__</v>
      </c>
      <c r="C14" s="609"/>
      <c r="D14" s="610"/>
      <c r="F14" s="611" t="str">
        <f t="shared" si="0"/>
        <v>_Q 20__</v>
      </c>
      <c r="G14" s="612">
        <f t="shared" si="1"/>
        <v>0</v>
      </c>
      <c r="H14" s="614">
        <f>IFERROR(SUM(D11:D14)/SUM(C11:C14),0)</f>
        <v>0</v>
      </c>
      <c r="J14" s="602"/>
    </row>
    <row r="15" spans="1:14" x14ac:dyDescent="0.45">
      <c r="A15" s="596">
        <f t="shared" si="2"/>
        <v>1.5</v>
      </c>
      <c r="B15" s="603" t="str">
        <f>'5A-Loss Trend'!C15</f>
        <v>_Q 20__</v>
      </c>
      <c r="C15" s="604"/>
      <c r="D15" s="605"/>
      <c r="F15" s="606" t="str">
        <f t="shared" si="0"/>
        <v>_Q 20__</v>
      </c>
      <c r="G15" s="607">
        <f t="shared" si="1"/>
        <v>0</v>
      </c>
      <c r="H15" s="613">
        <f t="shared" ref="H15:H28" si="3">IFERROR(SUM(D12:D15)/SUM(C12:C15),0)</f>
        <v>0</v>
      </c>
      <c r="J15" s="602"/>
    </row>
    <row r="16" spans="1:14" x14ac:dyDescent="0.45">
      <c r="A16" s="596">
        <f t="shared" si="2"/>
        <v>1.75</v>
      </c>
      <c r="B16" s="597" t="str">
        <f>'5A-Loss Trend'!C16</f>
        <v>_Q 20__</v>
      </c>
      <c r="C16" s="609"/>
      <c r="D16" s="610"/>
      <c r="F16" s="611" t="str">
        <f t="shared" si="0"/>
        <v>_Q 20__</v>
      </c>
      <c r="G16" s="612">
        <f t="shared" si="1"/>
        <v>0</v>
      </c>
      <c r="H16" s="614">
        <f t="shared" si="3"/>
        <v>0</v>
      </c>
      <c r="J16" s="602"/>
    </row>
    <row r="17" spans="1:15" x14ac:dyDescent="0.45">
      <c r="A17" s="596">
        <f t="shared" si="2"/>
        <v>2</v>
      </c>
      <c r="B17" s="603" t="str">
        <f>'5A-Loss Trend'!C17</f>
        <v>_Q 20__</v>
      </c>
      <c r="C17" s="604"/>
      <c r="D17" s="605"/>
      <c r="F17" s="606" t="str">
        <f t="shared" si="0"/>
        <v>_Q 20__</v>
      </c>
      <c r="G17" s="607">
        <f t="shared" si="1"/>
        <v>0</v>
      </c>
      <c r="H17" s="613">
        <f t="shared" si="3"/>
        <v>0</v>
      </c>
      <c r="J17" s="602"/>
    </row>
    <row r="18" spans="1:15" x14ac:dyDescent="0.45">
      <c r="A18" s="596">
        <f t="shared" si="2"/>
        <v>2.25</v>
      </c>
      <c r="B18" s="597" t="str">
        <f>'5A-Loss Trend'!C18</f>
        <v>_Q 20__</v>
      </c>
      <c r="C18" s="609"/>
      <c r="D18" s="610"/>
      <c r="F18" s="611" t="str">
        <f t="shared" si="0"/>
        <v>_Q 20__</v>
      </c>
      <c r="G18" s="612">
        <f t="shared" si="1"/>
        <v>0</v>
      </c>
      <c r="H18" s="614">
        <f t="shared" si="3"/>
        <v>0</v>
      </c>
      <c r="J18" s="602"/>
    </row>
    <row r="19" spans="1:15" x14ac:dyDescent="0.45">
      <c r="A19" s="596">
        <f t="shared" si="2"/>
        <v>2.5</v>
      </c>
      <c r="B19" s="603" t="str">
        <f>'5A-Loss Trend'!C19</f>
        <v>_Q 20__</v>
      </c>
      <c r="C19" s="604"/>
      <c r="D19" s="605"/>
      <c r="F19" s="606" t="str">
        <f t="shared" si="0"/>
        <v>_Q 20__</v>
      </c>
      <c r="G19" s="607">
        <f t="shared" si="1"/>
        <v>0</v>
      </c>
      <c r="H19" s="613">
        <f t="shared" si="3"/>
        <v>0</v>
      </c>
      <c r="J19" s="602"/>
    </row>
    <row r="20" spans="1:15" x14ac:dyDescent="0.45">
      <c r="A20" s="596">
        <f t="shared" si="2"/>
        <v>2.75</v>
      </c>
      <c r="B20" s="597" t="str">
        <f>'5A-Loss Trend'!C20</f>
        <v>_Q 20__</v>
      </c>
      <c r="C20" s="609"/>
      <c r="D20" s="610"/>
      <c r="F20" s="611" t="str">
        <f t="shared" si="0"/>
        <v>_Q 20__</v>
      </c>
      <c r="G20" s="612">
        <f t="shared" si="1"/>
        <v>0</v>
      </c>
      <c r="H20" s="614">
        <f t="shared" si="3"/>
        <v>0</v>
      </c>
      <c r="J20" s="602"/>
    </row>
    <row r="21" spans="1:15" x14ac:dyDescent="0.45">
      <c r="A21" s="596">
        <f t="shared" si="2"/>
        <v>3</v>
      </c>
      <c r="B21" s="603" t="str">
        <f>'5A-Loss Trend'!C21</f>
        <v>_Q 20__</v>
      </c>
      <c r="C21" s="604"/>
      <c r="D21" s="605"/>
      <c r="F21" s="606" t="str">
        <f t="shared" si="0"/>
        <v>_Q 20__</v>
      </c>
      <c r="G21" s="607">
        <f t="shared" si="1"/>
        <v>0</v>
      </c>
      <c r="H21" s="613">
        <f t="shared" si="3"/>
        <v>0</v>
      </c>
      <c r="J21" s="602"/>
    </row>
    <row r="22" spans="1:15" x14ac:dyDescent="0.45">
      <c r="A22" s="596">
        <f t="shared" si="2"/>
        <v>3.25</v>
      </c>
      <c r="B22" s="597" t="str">
        <f>'5A-Loss Trend'!C22</f>
        <v>_Q 20__</v>
      </c>
      <c r="C22" s="609"/>
      <c r="D22" s="610"/>
      <c r="F22" s="611" t="str">
        <f t="shared" si="0"/>
        <v>_Q 20__</v>
      </c>
      <c r="G22" s="612">
        <f t="shared" si="1"/>
        <v>0</v>
      </c>
      <c r="H22" s="614">
        <f t="shared" si="3"/>
        <v>0</v>
      </c>
      <c r="J22" s="602"/>
    </row>
    <row r="23" spans="1:15" x14ac:dyDescent="0.45">
      <c r="A23" s="596">
        <f t="shared" si="2"/>
        <v>3.5</v>
      </c>
      <c r="B23" s="603" t="str">
        <f>'5A-Loss Trend'!C23</f>
        <v>_Q 20__</v>
      </c>
      <c r="C23" s="604"/>
      <c r="D23" s="605"/>
      <c r="F23" s="606" t="str">
        <f t="shared" si="0"/>
        <v>_Q 20__</v>
      </c>
      <c r="G23" s="607">
        <f t="shared" si="1"/>
        <v>0</v>
      </c>
      <c r="H23" s="613">
        <f t="shared" si="3"/>
        <v>0</v>
      </c>
      <c r="J23" s="602"/>
    </row>
    <row r="24" spans="1:15" x14ac:dyDescent="0.45">
      <c r="A24" s="596">
        <f t="shared" si="2"/>
        <v>3.75</v>
      </c>
      <c r="B24" s="597" t="str">
        <f>'5A-Loss Trend'!C24</f>
        <v>_Q 20__</v>
      </c>
      <c r="C24" s="609"/>
      <c r="D24" s="610"/>
      <c r="F24" s="611" t="str">
        <f t="shared" si="0"/>
        <v>_Q 20__</v>
      </c>
      <c r="G24" s="612">
        <f t="shared" si="1"/>
        <v>0</v>
      </c>
      <c r="H24" s="614">
        <f t="shared" si="3"/>
        <v>0</v>
      </c>
      <c r="J24" s="602"/>
    </row>
    <row r="25" spans="1:15" x14ac:dyDescent="0.45">
      <c r="A25" s="596">
        <f t="shared" si="2"/>
        <v>4</v>
      </c>
      <c r="B25" s="603" t="str">
        <f>'5A-Loss Trend'!C25</f>
        <v>_Q 20__</v>
      </c>
      <c r="C25" s="604"/>
      <c r="D25" s="605"/>
      <c r="F25" s="606" t="str">
        <f t="shared" si="0"/>
        <v>_Q 20__</v>
      </c>
      <c r="G25" s="607">
        <f t="shared" si="1"/>
        <v>0</v>
      </c>
      <c r="H25" s="613">
        <f t="shared" si="3"/>
        <v>0</v>
      </c>
      <c r="J25" s="602"/>
    </row>
    <row r="26" spans="1:15" x14ac:dyDescent="0.45">
      <c r="A26" s="596">
        <f t="shared" si="2"/>
        <v>4.25</v>
      </c>
      <c r="B26" s="597" t="str">
        <f>'5A-Loss Trend'!C26</f>
        <v>_Q 20__</v>
      </c>
      <c r="C26" s="609"/>
      <c r="D26" s="610"/>
      <c r="F26" s="611" t="str">
        <f t="shared" si="0"/>
        <v>_Q 20__</v>
      </c>
      <c r="G26" s="612">
        <f t="shared" si="1"/>
        <v>0</v>
      </c>
      <c r="H26" s="614">
        <f t="shared" si="3"/>
        <v>0</v>
      </c>
      <c r="I26" s="615"/>
    </row>
    <row r="27" spans="1:15" x14ac:dyDescent="0.45">
      <c r="A27" s="596">
        <f t="shared" si="2"/>
        <v>4.5</v>
      </c>
      <c r="B27" s="603" t="str">
        <f>'5A-Loss Trend'!C27</f>
        <v>_Q 20__</v>
      </c>
      <c r="C27" s="604"/>
      <c r="D27" s="605"/>
      <c r="F27" s="606" t="str">
        <f t="shared" si="0"/>
        <v>_Q 20__</v>
      </c>
      <c r="G27" s="607">
        <f t="shared" si="1"/>
        <v>0</v>
      </c>
      <c r="H27" s="613">
        <f t="shared" si="3"/>
        <v>0</v>
      </c>
      <c r="I27" s="616"/>
    </row>
    <row r="28" spans="1:15" x14ac:dyDescent="0.45">
      <c r="A28" s="596">
        <f t="shared" si="2"/>
        <v>4.75</v>
      </c>
      <c r="B28" s="597" t="str">
        <f>'5A-Loss Trend'!C28</f>
        <v>_Q 20__</v>
      </c>
      <c r="C28" s="609"/>
      <c r="D28" s="610"/>
      <c r="F28" s="611" t="str">
        <f t="shared" si="0"/>
        <v>_Q 20__</v>
      </c>
      <c r="G28" s="612">
        <f t="shared" si="1"/>
        <v>0</v>
      </c>
      <c r="H28" s="614">
        <f t="shared" si="3"/>
        <v>0</v>
      </c>
      <c r="I28" s="615"/>
      <c r="N28" s="619"/>
      <c r="O28" s="619"/>
    </row>
    <row r="29" spans="1:15" x14ac:dyDescent="0.45">
      <c r="A29" s="596">
        <f t="shared" si="2"/>
        <v>5</v>
      </c>
      <c r="B29" s="603" t="str">
        <f>'5A-Loss Trend'!C29</f>
        <v>_Q 20__</v>
      </c>
      <c r="C29" s="604"/>
      <c r="D29" s="605"/>
      <c r="F29" s="606" t="str">
        <f t="shared" si="0"/>
        <v>_Q 20__</v>
      </c>
      <c r="G29" s="607">
        <f t="shared" si="1"/>
        <v>0</v>
      </c>
      <c r="H29" s="613">
        <f t="shared" ref="H29:H31" si="4">IFERROR(SUM(D26:D29)/SUM(C26:C29),0)</f>
        <v>0</v>
      </c>
      <c r="N29" s="1087"/>
    </row>
    <row r="30" spans="1:15" x14ac:dyDescent="0.45">
      <c r="A30" s="596">
        <f t="shared" si="2"/>
        <v>5.25</v>
      </c>
      <c r="B30" s="597" t="str">
        <f>'5A-Loss Trend'!C30</f>
        <v>_Q 20__</v>
      </c>
      <c r="C30" s="609"/>
      <c r="D30" s="610"/>
      <c r="F30" s="611" t="str">
        <f t="shared" si="0"/>
        <v>_Q 20__</v>
      </c>
      <c r="G30" s="612">
        <f t="shared" si="1"/>
        <v>0</v>
      </c>
      <c r="H30" s="614">
        <f>IFERROR(SUM(D27:D30)/SUM(C27:C30),0)</f>
        <v>0</v>
      </c>
      <c r="N30" s="624"/>
    </row>
    <row r="31" spans="1:15" x14ac:dyDescent="0.45">
      <c r="A31" s="596">
        <f t="shared" si="2"/>
        <v>5.5</v>
      </c>
      <c r="B31" s="603" t="str">
        <f>'5A-Loss Trend'!C31</f>
        <v>_Q 20__</v>
      </c>
      <c r="C31" s="604"/>
      <c r="D31" s="605"/>
      <c r="F31" s="606" t="str">
        <f t="shared" si="0"/>
        <v>_Q 20__</v>
      </c>
      <c r="G31" s="607">
        <f t="shared" si="1"/>
        <v>0</v>
      </c>
      <c r="H31" s="613">
        <f t="shared" si="4"/>
        <v>0</v>
      </c>
    </row>
    <row r="32" spans="1:15" x14ac:dyDescent="0.45">
      <c r="A32" s="596">
        <f t="shared" si="2"/>
        <v>5.75</v>
      </c>
      <c r="B32" s="611" t="str">
        <f>'5A-Loss Trend'!C32</f>
        <v>_Q 20__</v>
      </c>
      <c r="C32" s="625"/>
      <c r="D32" s="610"/>
      <c r="F32" s="611" t="str">
        <f t="shared" si="0"/>
        <v>_Q 20__</v>
      </c>
      <c r="G32" s="612">
        <f t="shared" si="1"/>
        <v>0</v>
      </c>
      <c r="H32" s="614">
        <f>IFERROR(SUM(D29:D32)/SUM(C29:C32),0)</f>
        <v>0</v>
      </c>
    </row>
    <row r="33" spans="1:8" x14ac:dyDescent="0.45">
      <c r="A33" s="596">
        <f t="shared" si="2"/>
        <v>6</v>
      </c>
      <c r="B33" s="626" t="str">
        <f>'5A-Loss Trend'!C33</f>
        <v>_Q 20__</v>
      </c>
      <c r="C33" s="627"/>
      <c r="D33" s="628"/>
      <c r="F33" s="626" t="str">
        <f t="shared" ref="F33" si="5">B33</f>
        <v>_Q 20__</v>
      </c>
      <c r="G33" s="629">
        <f t="shared" si="1"/>
        <v>0</v>
      </c>
      <c r="H33" s="630">
        <f>IFERROR(SUM(D30:D33)/SUM(C30:C33),0)</f>
        <v>0</v>
      </c>
    </row>
    <row r="34" spans="1:8" x14ac:dyDescent="0.45">
      <c r="A34" s="633"/>
      <c r="F34" s="634"/>
      <c r="G34" s="616"/>
      <c r="H34" s="616"/>
    </row>
    <row r="35" spans="1:8" x14ac:dyDescent="0.45">
      <c r="A35" s="633"/>
      <c r="C35" s="1173" t="s">
        <v>352</v>
      </c>
      <c r="D35" s="1174"/>
      <c r="F35" s="634"/>
      <c r="G35" s="616"/>
      <c r="H35" s="616"/>
    </row>
    <row r="36" spans="1:8" x14ac:dyDescent="0.45">
      <c r="A36" s="633"/>
      <c r="C36" s="617" t="s">
        <v>353</v>
      </c>
      <c r="D36" s="618" cm="1">
        <f t="array" ref="D36">_xlfn.SINGLE(IFERROR(LOGEST(H14:H33,$A14:$A33)-1,0))</f>
        <v>0</v>
      </c>
      <c r="F36" s="634"/>
      <c r="G36" s="616"/>
      <c r="H36" s="616"/>
    </row>
    <row r="37" spans="1:8" x14ac:dyDescent="0.45">
      <c r="A37" s="633"/>
      <c r="C37" s="620" t="s">
        <v>354</v>
      </c>
      <c r="D37" s="621" cm="1">
        <f t="array" ref="D37">_xlfn.SINGLE(IFERROR(LOGEST(H18:H33,$A18:$A33)-1,0))</f>
        <v>0</v>
      </c>
      <c r="G37" s="1173" t="s">
        <v>355</v>
      </c>
      <c r="H37" s="1174"/>
    </row>
    <row r="38" spans="1:8" x14ac:dyDescent="0.45">
      <c r="A38" s="633"/>
      <c r="C38" s="622" t="s">
        <v>356</v>
      </c>
      <c r="D38" s="623" cm="1">
        <f t="array" ref="D38">_xlfn.SINGLE(IFERROR(LOGEST(H22:H33,$A22:$A33)-1,0))</f>
        <v>0</v>
      </c>
      <c r="F38" s="478">
        <v>-4</v>
      </c>
      <c r="G38" s="635" t="s">
        <v>153</v>
      </c>
      <c r="H38" s="636"/>
    </row>
    <row r="39" spans="1:8" x14ac:dyDescent="0.45">
      <c r="A39" s="633"/>
      <c r="C39" s="620" t="s">
        <v>357</v>
      </c>
      <c r="D39" s="621" cm="1">
        <f t="array" ref="D39">_xlfn.SINGLE(IFERROR(LOGEST(H26:H33,$A26:$A33)-1,0))</f>
        <v>0</v>
      </c>
      <c r="F39" s="637">
        <f>F38-1</f>
        <v>-5</v>
      </c>
      <c r="G39" s="638" t="s">
        <v>154</v>
      </c>
      <c r="H39" s="639"/>
    </row>
    <row r="40" spans="1:8" x14ac:dyDescent="0.45">
      <c r="A40" s="633"/>
      <c r="C40" s="622" t="s">
        <v>358</v>
      </c>
      <c r="D40" s="623" cm="1">
        <f t="array" ref="D40">_xlfn.SINGLE(IFERROR(LOGEST(H28:H33,$A28:$A33)-1,0))</f>
        <v>0</v>
      </c>
      <c r="F40" s="634"/>
      <c r="G40" s="616"/>
      <c r="H40" s="616"/>
    </row>
    <row r="41" spans="1:8" x14ac:dyDescent="0.45">
      <c r="A41" s="633"/>
      <c r="C41" s="631" t="s">
        <v>359</v>
      </c>
      <c r="D41" s="632" cm="1">
        <f t="array" ref="D41">_xlfn.SINGLE(IFERROR(LOGEST(H30:H33,$A30:$A33)-1,0))</f>
        <v>0</v>
      </c>
      <c r="F41" s="634"/>
      <c r="G41" s="616"/>
      <c r="H41" s="616"/>
    </row>
    <row r="42" spans="1:8" x14ac:dyDescent="0.45">
      <c r="A42" s="633"/>
      <c r="F42" s="634"/>
      <c r="G42" s="616"/>
      <c r="H42" s="616"/>
    </row>
    <row r="43" spans="1:8" x14ac:dyDescent="0.45">
      <c r="A43" s="633"/>
      <c r="F43" s="634"/>
      <c r="G43" s="616"/>
      <c r="H43" s="616"/>
    </row>
    <row r="44" spans="1:8" x14ac:dyDescent="0.45">
      <c r="A44" s="633"/>
      <c r="F44" s="634"/>
      <c r="G44" s="616"/>
      <c r="H44" s="616"/>
    </row>
    <row r="45" spans="1:8" x14ac:dyDescent="0.45">
      <c r="A45" s="633"/>
      <c r="F45" s="634"/>
      <c r="G45" s="616"/>
      <c r="H45" s="616"/>
    </row>
    <row r="46" spans="1:8" x14ac:dyDescent="0.45">
      <c r="A46" s="633"/>
      <c r="F46" s="634"/>
      <c r="G46" s="616"/>
      <c r="H46" s="616"/>
    </row>
    <row r="47" spans="1:8" x14ac:dyDescent="0.45">
      <c r="A47" s="633"/>
      <c r="F47" s="634"/>
      <c r="G47" s="616"/>
      <c r="H47" s="616"/>
    </row>
    <row r="48" spans="1:8" x14ac:dyDescent="0.45">
      <c r="A48" s="633"/>
      <c r="F48" s="634"/>
      <c r="G48" s="616"/>
      <c r="H48" s="616"/>
    </row>
    <row r="49" spans="1:8" x14ac:dyDescent="0.45">
      <c r="A49" s="633"/>
      <c r="F49" s="634"/>
      <c r="G49" s="616"/>
      <c r="H49" s="616"/>
    </row>
    <row r="50" spans="1:8" x14ac:dyDescent="0.45">
      <c r="A50" s="633"/>
      <c r="F50" s="634"/>
      <c r="G50" s="616"/>
      <c r="H50" s="616"/>
    </row>
    <row r="51" spans="1:8" x14ac:dyDescent="0.45">
      <c r="A51" s="633"/>
      <c r="F51" s="634"/>
      <c r="G51" s="616"/>
      <c r="H51" s="616"/>
    </row>
    <row r="52" spans="1:8" x14ac:dyDescent="0.45">
      <c r="A52" s="633"/>
      <c r="F52" s="634"/>
      <c r="G52" s="616"/>
      <c r="H52" s="616"/>
    </row>
    <row r="53" spans="1:8" x14ac:dyDescent="0.45">
      <c r="A53" s="633"/>
      <c r="F53" s="634"/>
      <c r="G53" s="616"/>
      <c r="H53" s="616"/>
    </row>
    <row r="54" spans="1:8" x14ac:dyDescent="0.45">
      <c r="A54" s="633"/>
      <c r="F54" s="634"/>
      <c r="G54" s="616"/>
      <c r="H54" s="616"/>
    </row>
    <row r="55" spans="1:8" x14ac:dyDescent="0.45">
      <c r="A55" s="633"/>
      <c r="F55" s="634"/>
      <c r="G55" s="616"/>
      <c r="H55" s="616"/>
    </row>
    <row r="56" spans="1:8" x14ac:dyDescent="0.45">
      <c r="A56" s="633"/>
      <c r="F56" s="634"/>
      <c r="G56" s="616"/>
      <c r="H56" s="616"/>
    </row>
    <row r="57" spans="1:8" x14ac:dyDescent="0.45">
      <c r="A57" s="633"/>
      <c r="F57" s="634"/>
      <c r="G57" s="616"/>
      <c r="H57" s="616"/>
    </row>
    <row r="58" spans="1:8" x14ac:dyDescent="0.45">
      <c r="A58" s="633"/>
      <c r="B58" s="1254" t="s">
        <v>360</v>
      </c>
      <c r="C58" s="1255"/>
      <c r="D58" s="1255"/>
      <c r="E58" s="1255"/>
      <c r="F58" s="1255"/>
      <c r="G58" s="1255"/>
      <c r="H58" s="1256"/>
    </row>
    <row r="59" spans="1:8" x14ac:dyDescent="0.45">
      <c r="B59" s="1257"/>
      <c r="C59" s="1258"/>
      <c r="D59" s="1258"/>
      <c r="E59" s="1258"/>
      <c r="F59" s="1258"/>
      <c r="G59" s="1258"/>
      <c r="H59" s="1259"/>
    </row>
    <row r="60" spans="1:8" x14ac:dyDescent="0.45">
      <c r="B60" s="1180"/>
      <c r="C60" s="1181"/>
      <c r="D60" s="1181"/>
      <c r="E60" s="1181"/>
      <c r="F60" s="1181"/>
      <c r="G60" s="1181"/>
      <c r="H60" s="1182"/>
    </row>
    <row r="61" spans="1:8" x14ac:dyDescent="0.45">
      <c r="B61" s="1180"/>
      <c r="C61" s="1181"/>
      <c r="D61" s="1181"/>
      <c r="E61" s="1181"/>
      <c r="F61" s="1181"/>
      <c r="G61" s="1181"/>
      <c r="H61" s="1182"/>
    </row>
    <row r="62" spans="1:8" x14ac:dyDescent="0.45">
      <c r="B62" s="1183"/>
      <c r="C62" s="1184"/>
      <c r="D62" s="1184"/>
      <c r="E62" s="1184"/>
      <c r="F62" s="1184"/>
      <c r="G62" s="1184"/>
      <c r="H62" s="1185"/>
    </row>
    <row r="63" spans="1:8" x14ac:dyDescent="0.45">
      <c r="B63" s="1085"/>
      <c r="C63" s="1085"/>
      <c r="D63" s="1085"/>
      <c r="E63" s="1085"/>
    </row>
    <row r="64" spans="1:8" x14ac:dyDescent="0.45">
      <c r="H64" s="568"/>
    </row>
  </sheetData>
  <sheetProtection sheet="1" objects="1" scenarios="1"/>
  <mergeCells count="7">
    <mergeCell ref="B60:H62"/>
    <mergeCell ref="B58:H59"/>
    <mergeCell ref="B5:I5"/>
    <mergeCell ref="B8:D8"/>
    <mergeCell ref="F8:H8"/>
    <mergeCell ref="C35:D35"/>
    <mergeCell ref="G37:H37"/>
  </mergeCells>
  <conditionalFormatting sqref="B60">
    <cfRule type="expression" dxfId="120" priority="3">
      <formula>$B$60=""</formula>
    </cfRule>
  </conditionalFormatting>
  <conditionalFormatting sqref="C10:D33 G38:H39">
    <cfRule type="expression" dxfId="119" priority="8">
      <formula>C10=""</formula>
    </cfRule>
  </conditionalFormatting>
  <conditionalFormatting sqref="H2:H3">
    <cfRule type="cellIs" dxfId="118" priority="1" operator="equal">
      <formula>""</formula>
    </cfRule>
  </conditionalFormatting>
  <printOptions horizontalCentered="1"/>
  <pageMargins left="0.25" right="0.25" top="0.75" bottom="0.75" header="0.3" footer="0.3"/>
  <pageSetup fitToWidth="0" fitToHeight="0" orientation="portrait" r:id="rId1"/>
  <rowBreaks count="1" manualBreakCount="1">
    <brk id="33" max="8" man="1"/>
  </rowBreaks>
  <ignoredErrors>
    <ignoredError sqref="H29 H31" formulaRange="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dimension ref="A1:F43"/>
  <sheetViews>
    <sheetView showGridLines="0" zoomScaleNormal="100" zoomScalePageLayoutView="85" workbookViewId="0"/>
  </sheetViews>
  <sheetFormatPr defaultColWidth="15.5546875" defaultRowHeight="19.2" x14ac:dyDescent="0.45"/>
  <cols>
    <col min="1" max="1" width="14.44140625" style="257" customWidth="1"/>
    <col min="2" max="4" width="15.5546875" style="257"/>
    <col min="5" max="5" width="13.6640625" style="257" customWidth="1"/>
    <col min="6" max="6" width="17.109375" style="257" customWidth="1"/>
    <col min="7" max="16384" width="15.5546875" style="257"/>
  </cols>
  <sheetData>
    <row r="1" spans="1:6" x14ac:dyDescent="0.45">
      <c r="A1" s="1055" t="str">
        <f>'General Information'!$A$1</f>
        <v>Texas Department of Insurance</v>
      </c>
    </row>
    <row r="2" spans="1:6" x14ac:dyDescent="0.45">
      <c r="A2" s="1055" t="str">
        <f>'General Information'!$A$2</f>
        <v>Property and Casualty Rate Filing Exhibits</v>
      </c>
      <c r="E2" s="160" t="s">
        <v>97</v>
      </c>
      <c r="F2" s="1018" t="str">
        <f>'General Information'!$E$2</f>
        <v>Fill out Gen Info</v>
      </c>
    </row>
    <row r="3" spans="1:6" x14ac:dyDescent="0.45">
      <c r="A3" s="1055" t="str">
        <f>'General Information'!$A$3</f>
        <v>Rate Filing Template (2025 Edition)</v>
      </c>
      <c r="B3" s="288"/>
      <c r="E3" s="160" t="s">
        <v>98</v>
      </c>
      <c r="F3" s="1018" t="str">
        <f>'General Information'!$E$3</f>
        <v>Fill out Gen Info</v>
      </c>
    </row>
    <row r="5" spans="1:6" x14ac:dyDescent="0.45">
      <c r="A5" s="1132" t="s">
        <v>361</v>
      </c>
      <c r="B5" s="1133"/>
      <c r="C5" s="1133"/>
      <c r="D5" s="1133"/>
      <c r="E5" s="1133"/>
      <c r="F5" s="1133"/>
    </row>
    <row r="7" spans="1:6" x14ac:dyDescent="0.45">
      <c r="B7" s="1261" t="s">
        <v>362</v>
      </c>
      <c r="C7" s="1262"/>
    </row>
    <row r="8" spans="1:6" x14ac:dyDescent="0.45">
      <c r="A8" s="478">
        <v>-1</v>
      </c>
      <c r="B8" s="635" t="s">
        <v>153</v>
      </c>
      <c r="C8" s="718">
        <f>'4A-Premium Trend'!H38</f>
        <v>0</v>
      </c>
    </row>
    <row r="9" spans="1:6" x14ac:dyDescent="0.45">
      <c r="A9" s="478">
        <v>-2</v>
      </c>
      <c r="B9" s="638" t="s">
        <v>154</v>
      </c>
      <c r="C9" s="722">
        <f>'4A-Premium Trend'!H39</f>
        <v>0</v>
      </c>
    </row>
    <row r="10" spans="1:6" x14ac:dyDescent="0.45">
      <c r="B10" s="307"/>
      <c r="C10" s="273"/>
      <c r="D10" s="642"/>
    </row>
    <row r="12" spans="1:6" x14ac:dyDescent="0.45">
      <c r="A12" s="350">
        <f>A9-1</f>
        <v>-3</v>
      </c>
      <c r="B12" s="291">
        <f>A12-1</f>
        <v>-4</v>
      </c>
      <c r="C12" s="291">
        <f>B12-1</f>
        <v>-5</v>
      </c>
      <c r="D12" s="291">
        <f t="shared" ref="D12:F12" si="0">C12-1</f>
        <v>-6</v>
      </c>
      <c r="E12" s="291">
        <f t="shared" si="0"/>
        <v>-7</v>
      </c>
      <c r="F12" s="291">
        <f t="shared" si="0"/>
        <v>-8</v>
      </c>
    </row>
    <row r="13" spans="1:6" ht="73.95" customHeight="1" x14ac:dyDescent="0.45">
      <c r="A13" s="1022" t="str">
        <f>'1-Indication'!A10</f>
        <v xml:space="preserve"> Ending</v>
      </c>
      <c r="B13" s="1022" t="s">
        <v>335</v>
      </c>
      <c r="C13" s="1022" t="s">
        <v>363</v>
      </c>
      <c r="D13" s="1022" t="s">
        <v>336</v>
      </c>
      <c r="E13" s="1022" t="s">
        <v>364</v>
      </c>
      <c r="F13" s="1022" t="s">
        <v>287</v>
      </c>
    </row>
    <row r="14" spans="1:6" x14ac:dyDescent="0.45">
      <c r="A14" s="578" t="str">
        <f>'1-Indication'!A11</f>
        <v>__ /__ /20__</v>
      </c>
      <c r="B14" s="579">
        <f>'3-Trend Period'!C18</f>
        <v>4</v>
      </c>
      <c r="C14" s="487">
        <f>(1+$C$8)^B14</f>
        <v>1</v>
      </c>
      <c r="D14" s="643">
        <f>'3-Trend Period'!D18</f>
        <v>0</v>
      </c>
      <c r="E14" s="487">
        <f>(1+$C$9)^D14</f>
        <v>1</v>
      </c>
      <c r="F14" s="644">
        <f>C14*E14</f>
        <v>1</v>
      </c>
    </row>
    <row r="15" spans="1:6" x14ac:dyDescent="0.45">
      <c r="A15" s="581" t="str">
        <f>'1-Indication'!A12</f>
        <v>__ /__ /20__</v>
      </c>
      <c r="B15" s="1111">
        <f>'3-Trend Period'!C19</f>
        <v>3</v>
      </c>
      <c r="C15" s="496">
        <f t="shared" ref="C15:C17" si="1">(1+$C$8)^B15</f>
        <v>1</v>
      </c>
      <c r="D15" s="1112">
        <f>'3-Trend Period'!D19</f>
        <v>0</v>
      </c>
      <c r="E15" s="496">
        <f t="shared" ref="E15:E18" si="2">(1+$C$9)^D15</f>
        <v>1</v>
      </c>
      <c r="F15" s="645">
        <f t="shared" ref="F15:F18" si="3">C15*E15</f>
        <v>1</v>
      </c>
    </row>
    <row r="16" spans="1:6" x14ac:dyDescent="0.45">
      <c r="A16" s="584" t="str">
        <f>'1-Indication'!A13</f>
        <v>__ /__ /20__</v>
      </c>
      <c r="B16" s="579">
        <f>'3-Trend Period'!C20</f>
        <v>2</v>
      </c>
      <c r="C16" s="487">
        <f t="shared" si="1"/>
        <v>1</v>
      </c>
      <c r="D16" s="643">
        <f>'3-Trend Period'!D20</f>
        <v>0</v>
      </c>
      <c r="E16" s="487">
        <f t="shared" si="2"/>
        <v>1</v>
      </c>
      <c r="F16" s="646">
        <f t="shared" si="3"/>
        <v>1</v>
      </c>
    </row>
    <row r="17" spans="1:6" x14ac:dyDescent="0.45">
      <c r="A17" s="581" t="str">
        <f>'1-Indication'!A14</f>
        <v>__ /__ /20__</v>
      </c>
      <c r="B17" s="1111">
        <f>'3-Trend Period'!C21</f>
        <v>1</v>
      </c>
      <c r="C17" s="496">
        <f t="shared" si="1"/>
        <v>1</v>
      </c>
      <c r="D17" s="1112">
        <f>'3-Trend Period'!D21</f>
        <v>0</v>
      </c>
      <c r="E17" s="496">
        <f t="shared" si="2"/>
        <v>1</v>
      </c>
      <c r="F17" s="645">
        <f>C17*E17</f>
        <v>1</v>
      </c>
    </row>
    <row r="18" spans="1:6" x14ac:dyDescent="0.45">
      <c r="A18" s="587" t="str">
        <f>'1-Indication'!A15</f>
        <v>__ /__ /20__</v>
      </c>
      <c r="B18" s="588">
        <f>'3-Trend Period'!C22</f>
        <v>0</v>
      </c>
      <c r="C18" s="508">
        <f>(1+$C$8)^B18</f>
        <v>1</v>
      </c>
      <c r="D18" s="1113">
        <f>'3-Trend Period'!D22</f>
        <v>0</v>
      </c>
      <c r="E18" s="508">
        <f t="shared" si="2"/>
        <v>1</v>
      </c>
      <c r="F18" s="647">
        <f t="shared" si="3"/>
        <v>1</v>
      </c>
    </row>
    <row r="21" spans="1:6" ht="19.2" customHeight="1" x14ac:dyDescent="0.45">
      <c r="A21" s="1250" t="s">
        <v>365</v>
      </c>
      <c r="B21" s="1263"/>
      <c r="C21" s="1263"/>
      <c r="D21" s="1263"/>
      <c r="E21" s="1263"/>
      <c r="F21" s="1264"/>
    </row>
    <row r="22" spans="1:6" x14ac:dyDescent="0.45">
      <c r="A22" s="1265"/>
      <c r="B22" s="1266"/>
      <c r="C22" s="1266"/>
      <c r="D22" s="1266"/>
      <c r="E22" s="1266"/>
      <c r="F22" s="1267"/>
    </row>
    <row r="23" spans="1:6" x14ac:dyDescent="0.45">
      <c r="A23" s="1268"/>
      <c r="B23" s="1269"/>
      <c r="C23" s="1269"/>
      <c r="D23" s="1269"/>
      <c r="E23" s="1269"/>
      <c r="F23" s="1270"/>
    </row>
    <row r="24" spans="1:6" x14ac:dyDescent="0.45">
      <c r="A24" s="1271"/>
      <c r="B24" s="1272"/>
      <c r="C24" s="1272"/>
      <c r="D24" s="1272"/>
      <c r="E24" s="1272"/>
      <c r="F24" s="1273"/>
    </row>
    <row r="25" spans="1:6" x14ac:dyDescent="0.45">
      <c r="A25" s="1274"/>
      <c r="B25" s="1275"/>
      <c r="C25" s="1275"/>
      <c r="D25" s="1275"/>
      <c r="E25" s="1275"/>
      <c r="F25" s="1276"/>
    </row>
    <row r="26" spans="1:6" x14ac:dyDescent="0.45">
      <c r="A26" s="1274"/>
      <c r="B26" s="1275"/>
      <c r="C26" s="1275"/>
      <c r="D26" s="1275"/>
      <c r="E26" s="1275"/>
      <c r="F26" s="1276"/>
    </row>
    <row r="27" spans="1:6" x14ac:dyDescent="0.45">
      <c r="A27" s="1274"/>
      <c r="B27" s="1275"/>
      <c r="C27" s="1275"/>
      <c r="D27" s="1275"/>
      <c r="E27" s="1275"/>
      <c r="F27" s="1276"/>
    </row>
    <row r="28" spans="1:6" x14ac:dyDescent="0.45">
      <c r="A28" s="1274"/>
      <c r="B28" s="1275"/>
      <c r="C28" s="1275"/>
      <c r="D28" s="1275"/>
      <c r="E28" s="1275"/>
      <c r="F28" s="1276"/>
    </row>
    <row r="29" spans="1:6" x14ac:dyDescent="0.45">
      <c r="A29" s="1274"/>
      <c r="B29" s="1275"/>
      <c r="C29" s="1275"/>
      <c r="D29" s="1275"/>
      <c r="E29" s="1275"/>
      <c r="F29" s="1276"/>
    </row>
    <row r="30" spans="1:6" x14ac:dyDescent="0.45">
      <c r="A30" s="1274"/>
      <c r="B30" s="1275"/>
      <c r="C30" s="1275"/>
      <c r="D30" s="1275"/>
      <c r="E30" s="1275"/>
      <c r="F30" s="1276"/>
    </row>
    <row r="31" spans="1:6" x14ac:dyDescent="0.45">
      <c r="A31" s="1277"/>
      <c r="B31" s="1278"/>
      <c r="C31" s="1278"/>
      <c r="D31" s="1278"/>
      <c r="E31" s="1278"/>
      <c r="F31" s="1279"/>
    </row>
    <row r="32" spans="1:6" x14ac:dyDescent="0.45">
      <c r="A32" s="1088"/>
      <c r="B32" s="1088"/>
      <c r="C32" s="1088"/>
      <c r="D32" s="1088"/>
      <c r="E32" s="1088"/>
      <c r="F32" s="1088"/>
    </row>
    <row r="34" spans="1:2" x14ac:dyDescent="0.45">
      <c r="A34" s="274" t="s">
        <v>301</v>
      </c>
    </row>
    <row r="35" spans="1:2" x14ac:dyDescent="0.45">
      <c r="A35" s="307">
        <f>A8</f>
        <v>-1</v>
      </c>
      <c r="B35" s="257" t="s">
        <v>366</v>
      </c>
    </row>
    <row r="36" spans="1:2" x14ac:dyDescent="0.45">
      <c r="A36" s="307">
        <f>A35-1</f>
        <v>-2</v>
      </c>
      <c r="B36" s="257" t="s">
        <v>366</v>
      </c>
    </row>
    <row r="37" spans="1:2" x14ac:dyDescent="0.45">
      <c r="A37" s="307">
        <f t="shared" ref="A37:A42" si="4">A36-1</f>
        <v>-3</v>
      </c>
      <c r="B37" s="257" t="s">
        <v>326</v>
      </c>
    </row>
    <row r="38" spans="1:2" x14ac:dyDescent="0.45">
      <c r="A38" s="307">
        <f t="shared" si="4"/>
        <v>-4</v>
      </c>
      <c r="B38" s="257" t="s">
        <v>367</v>
      </c>
    </row>
    <row r="39" spans="1:2" ht="19.8" x14ac:dyDescent="0.45">
      <c r="A39" s="307">
        <f t="shared" si="4"/>
        <v>-5</v>
      </c>
      <c r="B39" s="372" t="s">
        <v>368</v>
      </c>
    </row>
    <row r="40" spans="1:2" x14ac:dyDescent="0.45">
      <c r="A40" s="307">
        <f t="shared" si="4"/>
        <v>-6</v>
      </c>
      <c r="B40" s="257" t="s">
        <v>367</v>
      </c>
    </row>
    <row r="41" spans="1:2" ht="19.8" x14ac:dyDescent="0.45">
      <c r="A41" s="307">
        <f t="shared" si="4"/>
        <v>-7</v>
      </c>
      <c r="B41" s="372" t="s">
        <v>369</v>
      </c>
    </row>
    <row r="42" spans="1:2" x14ac:dyDescent="0.45">
      <c r="A42" s="307">
        <f t="shared" si="4"/>
        <v>-8</v>
      </c>
      <c r="B42" s="372" t="s">
        <v>370</v>
      </c>
    </row>
    <row r="43" spans="1:2" x14ac:dyDescent="0.45">
      <c r="A43" s="307"/>
    </row>
  </sheetData>
  <sheetProtection sheet="1" objects="1" scenarios="1"/>
  <mergeCells count="4">
    <mergeCell ref="A5:F5"/>
    <mergeCell ref="B7:C7"/>
    <mergeCell ref="A21:F23"/>
    <mergeCell ref="A24:F31"/>
  </mergeCells>
  <conditionalFormatting sqref="A24">
    <cfRule type="expression" dxfId="117" priority="3">
      <formula>$A$24=""</formula>
    </cfRule>
  </conditionalFormatting>
  <conditionalFormatting sqref="F2:F3">
    <cfRule type="cellIs" dxfId="116" priority="1" operator="equal">
      <formula>""</formula>
    </cfRule>
  </conditionalFormatting>
  <printOptions horizontalCentered="1"/>
  <pageMargins left="0.25" right="0.25" top="0.75" bottom="0.75" header="0.3" footer="0.3"/>
  <pageSetup fitToWidth="0"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P86"/>
  <sheetViews>
    <sheetView showGridLines="0" topLeftCell="C1" zoomScaleNormal="100" zoomScalePageLayoutView="70" workbookViewId="0">
      <selection activeCell="C1" sqref="C1"/>
    </sheetView>
  </sheetViews>
  <sheetFormatPr defaultColWidth="11" defaultRowHeight="19.2" x14ac:dyDescent="0.45"/>
  <cols>
    <col min="1" max="1" width="5.44140625" style="273" hidden="1" customWidth="1"/>
    <col min="2" max="2" width="7.6640625" style="273" hidden="1" customWidth="1"/>
    <col min="3" max="6" width="14.109375" style="273" customWidth="1"/>
    <col min="7" max="7" width="3.6640625" style="273" customWidth="1"/>
    <col min="8" max="11" width="14.109375" style="273" customWidth="1"/>
    <col min="12" max="12" width="3.6640625" style="273" customWidth="1"/>
    <col min="13" max="16" width="14.109375" style="273" customWidth="1"/>
    <col min="17" max="16384" width="11" style="273"/>
  </cols>
  <sheetData>
    <row r="1" spans="1:16" x14ac:dyDescent="0.45">
      <c r="C1" s="1055" t="str">
        <f>'General Information'!$A$1</f>
        <v>Texas Department of Insurance</v>
      </c>
    </row>
    <row r="2" spans="1:16" x14ac:dyDescent="0.45">
      <c r="C2" s="1055" t="str">
        <f>'General Information'!$A$2</f>
        <v>Property and Casualty Rate Filing Exhibits</v>
      </c>
      <c r="N2" s="160" t="s">
        <v>97</v>
      </c>
      <c r="O2" s="1018" t="str">
        <f>'General Information'!$E$2</f>
        <v>Fill out Gen Info</v>
      </c>
    </row>
    <row r="3" spans="1:16" x14ac:dyDescent="0.45">
      <c r="C3" s="1055" t="str">
        <f>'General Information'!$A$3</f>
        <v>Rate Filing Template (2025 Edition)</v>
      </c>
      <c r="N3" s="160" t="s">
        <v>98</v>
      </c>
      <c r="O3" s="1018" t="str">
        <f>'General Information'!$E$3</f>
        <v>Fill out Gen Info</v>
      </c>
    </row>
    <row r="4" spans="1:16" x14ac:dyDescent="0.45">
      <c r="C4" s="1101"/>
    </row>
    <row r="5" spans="1:16" ht="19.2" customHeight="1" x14ac:dyDescent="0.45">
      <c r="C5" s="1155" t="s">
        <v>371</v>
      </c>
      <c r="D5" s="1156"/>
      <c r="E5" s="1156"/>
      <c r="F5" s="1156"/>
      <c r="G5" s="1156"/>
      <c r="H5" s="1156"/>
      <c r="I5" s="1156"/>
      <c r="J5" s="1156"/>
      <c r="K5" s="1156"/>
      <c r="L5" s="1156"/>
      <c r="M5" s="1156"/>
      <c r="N5" s="1156"/>
      <c r="O5" s="1156"/>
      <c r="P5" s="1156"/>
    </row>
    <row r="6" spans="1:16" x14ac:dyDescent="0.45">
      <c r="C6" s="591"/>
      <c r="D6" s="592"/>
      <c r="E6" s="592"/>
      <c r="F6" s="592"/>
    </row>
    <row r="7" spans="1:16" x14ac:dyDescent="0.45">
      <c r="A7" s="288"/>
      <c r="B7" s="288"/>
      <c r="D7" s="550">
        <v>-1</v>
      </c>
      <c r="E7" s="550">
        <f>D7-1</f>
        <v>-2</v>
      </c>
      <c r="F7" s="550">
        <f>E7-1</f>
        <v>-3</v>
      </c>
    </row>
    <row r="8" spans="1:16" x14ac:dyDescent="0.45">
      <c r="C8" s="1173" t="s">
        <v>372</v>
      </c>
      <c r="D8" s="1260"/>
      <c r="E8" s="1260"/>
      <c r="F8" s="1174"/>
      <c r="H8" s="1173" t="s">
        <v>350</v>
      </c>
      <c r="I8" s="1260"/>
      <c r="J8" s="1260"/>
      <c r="K8" s="1174"/>
      <c r="M8" s="1173" t="s">
        <v>351</v>
      </c>
      <c r="N8" s="1260"/>
      <c r="O8" s="1260"/>
      <c r="P8" s="1174"/>
    </row>
    <row r="9" spans="1:16" s="268" customFormat="1" ht="38.4" x14ac:dyDescent="0.3">
      <c r="A9" s="268" t="s">
        <v>346</v>
      </c>
      <c r="C9" s="594" t="s">
        <v>347</v>
      </c>
      <c r="D9" s="648" t="s">
        <v>348</v>
      </c>
      <c r="E9" s="649" t="s">
        <v>373</v>
      </c>
      <c r="F9" s="328" t="s">
        <v>29</v>
      </c>
      <c r="H9" s="594" t="str">
        <f>C9</f>
        <v>Calendar Quarter</v>
      </c>
      <c r="I9" s="648" t="s">
        <v>374</v>
      </c>
      <c r="J9" s="649" t="s">
        <v>375</v>
      </c>
      <c r="K9" s="328" t="s">
        <v>376</v>
      </c>
      <c r="M9" s="650" t="str">
        <f>H9</f>
        <v>Calendar Quarter</v>
      </c>
      <c r="N9" s="651" t="s">
        <v>374</v>
      </c>
      <c r="O9" s="652" t="s">
        <v>375</v>
      </c>
      <c r="P9" s="653" t="s">
        <v>376</v>
      </c>
    </row>
    <row r="10" spans="1:16" x14ac:dyDescent="0.45">
      <c r="A10" s="596">
        <v>0.25</v>
      </c>
      <c r="B10" s="654">
        <f t="shared" ref="B10:B31" si="0">B11-91.3125</f>
        <v>-2100.1875</v>
      </c>
      <c r="C10" s="655" t="str">
        <f>IF('General Information'!$B$22="","_",TEXT(MONTH(B10)/3,"#")) &amp; TEXT("Q ","") &amp; IF('General Information'!$B$22="","20__",TEXT(YEAR(B10),"#"))</f>
        <v>_Q 20__</v>
      </c>
      <c r="D10" s="656"/>
      <c r="E10" s="657"/>
      <c r="F10" s="658"/>
      <c r="H10" s="659" t="str">
        <f t="shared" ref="H10:H31" si="1">C10</f>
        <v>_Q 20__</v>
      </c>
      <c r="I10" s="660">
        <f>IFERROR(E10/D10,0)</f>
        <v>0</v>
      </c>
      <c r="J10" s="661">
        <f>IFERROR(F10/E10,0)</f>
        <v>0</v>
      </c>
      <c r="K10" s="662">
        <f>IFERROR(I10*J10,0)</f>
        <v>0</v>
      </c>
      <c r="M10" s="663"/>
      <c r="N10" s="664"/>
      <c r="O10" s="665"/>
      <c r="P10" s="666"/>
    </row>
    <row r="11" spans="1:16" x14ac:dyDescent="0.45">
      <c r="A11" s="596">
        <f>A10+0.25</f>
        <v>0.5</v>
      </c>
      <c r="B11" s="654">
        <f t="shared" si="0"/>
        <v>-2008.875</v>
      </c>
      <c r="C11" s="667" t="str">
        <f>IF('General Information'!$B$22="","_",TEXT(MONTH(B11)/3,"#")) &amp; TEXT("Q ","") &amp; IF('General Information'!$B$22="","20__",TEXT(YEAR(B11),"#"))</f>
        <v>_Q 20__</v>
      </c>
      <c r="D11" s="668"/>
      <c r="E11" s="669"/>
      <c r="F11" s="670"/>
      <c r="H11" s="671" t="str">
        <f t="shared" si="1"/>
        <v>_Q 20__</v>
      </c>
      <c r="I11" s="672">
        <f t="shared" ref="I11:I33" si="2">IFERROR(E11/D11,0)</f>
        <v>0</v>
      </c>
      <c r="J11" s="673">
        <f t="shared" ref="J11:J33" si="3">IFERROR(F11/E11,0)</f>
        <v>0</v>
      </c>
      <c r="K11" s="674">
        <f t="shared" ref="K11:K33" si="4">IFERROR(I11*J11,0)</f>
        <v>0</v>
      </c>
      <c r="M11" s="675"/>
      <c r="N11" s="676"/>
      <c r="O11" s="677"/>
      <c r="P11" s="678"/>
    </row>
    <row r="12" spans="1:16" x14ac:dyDescent="0.45">
      <c r="A12" s="596">
        <f t="shared" ref="A12:A33" si="5">A11+0.25</f>
        <v>0.75</v>
      </c>
      <c r="B12" s="654">
        <f t="shared" si="0"/>
        <v>-1917.5625</v>
      </c>
      <c r="C12" s="679" t="str">
        <f>IF('General Information'!$B$22="","_",TEXT(MONTH(B12)/3,"#")) &amp; TEXT("Q ","") &amp; IF('General Information'!$B$22="","20__",TEXT(YEAR(B12),"#"))</f>
        <v>_Q 20__</v>
      </c>
      <c r="D12" s="680"/>
      <c r="E12" s="681"/>
      <c r="F12" s="682"/>
      <c r="H12" s="659" t="str">
        <f t="shared" si="1"/>
        <v>_Q 20__</v>
      </c>
      <c r="I12" s="660">
        <f t="shared" si="2"/>
        <v>0</v>
      </c>
      <c r="J12" s="661">
        <f t="shared" si="3"/>
        <v>0</v>
      </c>
      <c r="K12" s="662">
        <f t="shared" si="4"/>
        <v>0</v>
      </c>
      <c r="M12" s="675"/>
      <c r="N12" s="676"/>
      <c r="O12" s="677"/>
      <c r="P12" s="678"/>
    </row>
    <row r="13" spans="1:16" x14ac:dyDescent="0.45">
      <c r="A13" s="596">
        <f t="shared" si="5"/>
        <v>1</v>
      </c>
      <c r="B13" s="654">
        <f t="shared" si="0"/>
        <v>-1826.25</v>
      </c>
      <c r="C13" s="667" t="str">
        <f>IF('General Information'!$B$22="","_",TEXT(MONTH(B13)/3,"#")) &amp; TEXT("Q ","") &amp; IF('General Information'!$B$22="","20__",TEXT(YEAR(B13),"#"))</f>
        <v>_Q 20__</v>
      </c>
      <c r="D13" s="668"/>
      <c r="E13" s="669"/>
      <c r="F13" s="670"/>
      <c r="H13" s="671" t="str">
        <f t="shared" si="1"/>
        <v>_Q 20__</v>
      </c>
      <c r="I13" s="672">
        <f t="shared" si="2"/>
        <v>0</v>
      </c>
      <c r="J13" s="673">
        <f t="shared" si="3"/>
        <v>0</v>
      </c>
      <c r="K13" s="674">
        <f t="shared" si="4"/>
        <v>0</v>
      </c>
      <c r="M13" s="671" t="str">
        <f t="shared" ref="M13:M31" si="6">H13</f>
        <v>_Q 20__</v>
      </c>
      <c r="N13" s="683">
        <f>IFERROR(SUM(E10:E13)/SUM(D10:D13),0)</f>
        <v>0</v>
      </c>
      <c r="O13" s="684">
        <f>IFERROR(SUM(F10:F13)/SUM(E10:E13),0)</f>
        <v>0</v>
      </c>
      <c r="P13" s="685">
        <f>IFERROR(N13*O13,0)</f>
        <v>0</v>
      </c>
    </row>
    <row r="14" spans="1:16" x14ac:dyDescent="0.45">
      <c r="A14" s="596">
        <f t="shared" si="5"/>
        <v>1.25</v>
      </c>
      <c r="B14" s="654">
        <f t="shared" si="0"/>
        <v>-1734.9375</v>
      </c>
      <c r="C14" s="679" t="str">
        <f>IF('General Information'!$B$22="","_",TEXT(MONTH(B14)/3,"#")) &amp; TEXT("Q ","") &amp; IF('General Information'!$B$22="","20__",TEXT(YEAR(B14),"#"))</f>
        <v>_Q 20__</v>
      </c>
      <c r="D14" s="680"/>
      <c r="E14" s="681"/>
      <c r="F14" s="682"/>
      <c r="H14" s="659" t="str">
        <f t="shared" si="1"/>
        <v>_Q 20__</v>
      </c>
      <c r="I14" s="660">
        <f t="shared" si="2"/>
        <v>0</v>
      </c>
      <c r="J14" s="661">
        <f t="shared" si="3"/>
        <v>0</v>
      </c>
      <c r="K14" s="662">
        <f t="shared" si="4"/>
        <v>0</v>
      </c>
      <c r="M14" s="659" t="str">
        <f t="shared" si="6"/>
        <v>_Q 20__</v>
      </c>
      <c r="N14" s="686">
        <f t="shared" ref="N14:N33" si="7">IFERROR(SUM(E11:E14)/SUM(D11:D14),0)</f>
        <v>0</v>
      </c>
      <c r="O14" s="687">
        <f t="shared" ref="O14:O33" si="8">IFERROR(SUM(F11:F14)/SUM(E11:E14),0)</f>
        <v>0</v>
      </c>
      <c r="P14" s="688">
        <f t="shared" ref="P14:P33" si="9">IFERROR(N14*O14,0)</f>
        <v>0</v>
      </c>
    </row>
    <row r="15" spans="1:16" x14ac:dyDescent="0.45">
      <c r="A15" s="596">
        <f t="shared" si="5"/>
        <v>1.5</v>
      </c>
      <c r="B15" s="654">
        <f t="shared" si="0"/>
        <v>-1643.625</v>
      </c>
      <c r="C15" s="667" t="str">
        <f>IF('General Information'!$B$22="","_",TEXT(MONTH(B15)/3,"#")) &amp; TEXT("Q ","") &amp; IF('General Information'!$B$22="","20__",TEXT(YEAR(B15),"#"))</f>
        <v>_Q 20__</v>
      </c>
      <c r="D15" s="668"/>
      <c r="E15" s="669"/>
      <c r="F15" s="670"/>
      <c r="H15" s="671" t="str">
        <f t="shared" si="1"/>
        <v>_Q 20__</v>
      </c>
      <c r="I15" s="672">
        <f t="shared" si="2"/>
        <v>0</v>
      </c>
      <c r="J15" s="673">
        <f t="shared" si="3"/>
        <v>0</v>
      </c>
      <c r="K15" s="674">
        <f t="shared" si="4"/>
        <v>0</v>
      </c>
      <c r="M15" s="671" t="str">
        <f t="shared" si="6"/>
        <v>_Q 20__</v>
      </c>
      <c r="N15" s="683">
        <f t="shared" si="7"/>
        <v>0</v>
      </c>
      <c r="O15" s="684">
        <f t="shared" si="8"/>
        <v>0</v>
      </c>
      <c r="P15" s="685">
        <f t="shared" si="9"/>
        <v>0</v>
      </c>
    </row>
    <row r="16" spans="1:16" x14ac:dyDescent="0.45">
      <c r="A16" s="596">
        <f t="shared" si="5"/>
        <v>1.75</v>
      </c>
      <c r="B16" s="654">
        <f t="shared" si="0"/>
        <v>-1552.3125</v>
      </c>
      <c r="C16" s="679" t="str">
        <f>IF('General Information'!$B$22="","_",TEXT(MONTH(B16)/3,"#")) &amp; TEXT("Q ","") &amp; IF('General Information'!$B$22="","20__",TEXT(YEAR(B16),"#"))</f>
        <v>_Q 20__</v>
      </c>
      <c r="D16" s="680"/>
      <c r="E16" s="681"/>
      <c r="F16" s="682"/>
      <c r="H16" s="659" t="str">
        <f t="shared" si="1"/>
        <v>_Q 20__</v>
      </c>
      <c r="I16" s="660">
        <f t="shared" si="2"/>
        <v>0</v>
      </c>
      <c r="J16" s="661">
        <f t="shared" si="3"/>
        <v>0</v>
      </c>
      <c r="K16" s="662">
        <f t="shared" si="4"/>
        <v>0</v>
      </c>
      <c r="M16" s="659" t="str">
        <f t="shared" si="6"/>
        <v>_Q 20__</v>
      </c>
      <c r="N16" s="686">
        <f t="shared" si="7"/>
        <v>0</v>
      </c>
      <c r="O16" s="687">
        <f t="shared" si="8"/>
        <v>0</v>
      </c>
      <c r="P16" s="688">
        <f t="shared" si="9"/>
        <v>0</v>
      </c>
    </row>
    <row r="17" spans="1:16" x14ac:dyDescent="0.45">
      <c r="A17" s="596">
        <f t="shared" si="5"/>
        <v>2</v>
      </c>
      <c r="B17" s="654">
        <f t="shared" si="0"/>
        <v>-1461</v>
      </c>
      <c r="C17" s="667" t="str">
        <f>IF('General Information'!$B$22="","_",TEXT(MONTH(B17)/3,"#")) &amp; TEXT("Q ","") &amp; IF('General Information'!$B$22="","20__",TEXT(YEAR(B17),"#"))</f>
        <v>_Q 20__</v>
      </c>
      <c r="D17" s="668"/>
      <c r="E17" s="669"/>
      <c r="F17" s="670"/>
      <c r="H17" s="671" t="str">
        <f t="shared" si="1"/>
        <v>_Q 20__</v>
      </c>
      <c r="I17" s="672">
        <f t="shared" si="2"/>
        <v>0</v>
      </c>
      <c r="J17" s="673">
        <f t="shared" si="3"/>
        <v>0</v>
      </c>
      <c r="K17" s="674">
        <f t="shared" si="4"/>
        <v>0</v>
      </c>
      <c r="M17" s="671" t="str">
        <f t="shared" si="6"/>
        <v>_Q 20__</v>
      </c>
      <c r="N17" s="683">
        <f t="shared" si="7"/>
        <v>0</v>
      </c>
      <c r="O17" s="684">
        <f t="shared" si="8"/>
        <v>0</v>
      </c>
      <c r="P17" s="685">
        <f t="shared" si="9"/>
        <v>0</v>
      </c>
    </row>
    <row r="18" spans="1:16" x14ac:dyDescent="0.45">
      <c r="A18" s="596">
        <f t="shared" si="5"/>
        <v>2.25</v>
      </c>
      <c r="B18" s="654">
        <f t="shared" si="0"/>
        <v>-1369.6875</v>
      </c>
      <c r="C18" s="679" t="str">
        <f>IF('General Information'!$B$22="","_",TEXT(MONTH(B18)/3,"#")) &amp; TEXT("Q ","") &amp; IF('General Information'!$B$22="","20__",TEXT(YEAR(B18),"#"))</f>
        <v>_Q 20__</v>
      </c>
      <c r="D18" s="680"/>
      <c r="E18" s="681"/>
      <c r="F18" s="682"/>
      <c r="H18" s="659" t="str">
        <f t="shared" si="1"/>
        <v>_Q 20__</v>
      </c>
      <c r="I18" s="660">
        <f t="shared" si="2"/>
        <v>0</v>
      </c>
      <c r="J18" s="661">
        <f t="shared" si="3"/>
        <v>0</v>
      </c>
      <c r="K18" s="662">
        <f t="shared" si="4"/>
        <v>0</v>
      </c>
      <c r="M18" s="659" t="str">
        <f t="shared" si="6"/>
        <v>_Q 20__</v>
      </c>
      <c r="N18" s="686">
        <f t="shared" si="7"/>
        <v>0</v>
      </c>
      <c r="O18" s="687">
        <f t="shared" si="8"/>
        <v>0</v>
      </c>
      <c r="P18" s="688">
        <f t="shared" si="9"/>
        <v>0</v>
      </c>
    </row>
    <row r="19" spans="1:16" x14ac:dyDescent="0.45">
      <c r="A19" s="596">
        <f t="shared" si="5"/>
        <v>2.5</v>
      </c>
      <c r="B19" s="654">
        <f t="shared" si="0"/>
        <v>-1278.375</v>
      </c>
      <c r="C19" s="667" t="str">
        <f>IF('General Information'!$B$22="","_",TEXT(MONTH(B19)/3,"#")) &amp; TEXT("Q ","") &amp; IF('General Information'!$B$22="","20__",TEXT(YEAR(B19),"#"))</f>
        <v>_Q 20__</v>
      </c>
      <c r="D19" s="668"/>
      <c r="E19" s="669"/>
      <c r="F19" s="670"/>
      <c r="H19" s="671" t="str">
        <f t="shared" si="1"/>
        <v>_Q 20__</v>
      </c>
      <c r="I19" s="672">
        <f t="shared" si="2"/>
        <v>0</v>
      </c>
      <c r="J19" s="673">
        <f t="shared" si="3"/>
        <v>0</v>
      </c>
      <c r="K19" s="674">
        <f t="shared" si="4"/>
        <v>0</v>
      </c>
      <c r="M19" s="671" t="str">
        <f t="shared" si="6"/>
        <v>_Q 20__</v>
      </c>
      <c r="N19" s="683">
        <f t="shared" si="7"/>
        <v>0</v>
      </c>
      <c r="O19" s="684">
        <f t="shared" si="8"/>
        <v>0</v>
      </c>
      <c r="P19" s="685">
        <f t="shared" si="9"/>
        <v>0</v>
      </c>
    </row>
    <row r="20" spans="1:16" x14ac:dyDescent="0.45">
      <c r="A20" s="596">
        <f t="shared" si="5"/>
        <v>2.75</v>
      </c>
      <c r="B20" s="654">
        <f t="shared" si="0"/>
        <v>-1187.0625</v>
      </c>
      <c r="C20" s="679" t="str">
        <f>IF('General Information'!$B$22="","_",TEXT(MONTH(B20)/3,"#")) &amp; TEXT("Q ","") &amp; IF('General Information'!$B$22="","20__",TEXT(YEAR(B20),"#"))</f>
        <v>_Q 20__</v>
      </c>
      <c r="D20" s="680"/>
      <c r="E20" s="681"/>
      <c r="F20" s="682"/>
      <c r="H20" s="659" t="str">
        <f t="shared" si="1"/>
        <v>_Q 20__</v>
      </c>
      <c r="I20" s="660">
        <f t="shared" si="2"/>
        <v>0</v>
      </c>
      <c r="J20" s="661">
        <f t="shared" si="3"/>
        <v>0</v>
      </c>
      <c r="K20" s="662">
        <f t="shared" si="4"/>
        <v>0</v>
      </c>
      <c r="M20" s="659" t="str">
        <f t="shared" si="6"/>
        <v>_Q 20__</v>
      </c>
      <c r="N20" s="686">
        <f t="shared" si="7"/>
        <v>0</v>
      </c>
      <c r="O20" s="687">
        <f t="shared" si="8"/>
        <v>0</v>
      </c>
      <c r="P20" s="688">
        <f t="shared" si="9"/>
        <v>0</v>
      </c>
    </row>
    <row r="21" spans="1:16" x14ac:dyDescent="0.45">
      <c r="A21" s="596">
        <f t="shared" si="5"/>
        <v>3</v>
      </c>
      <c r="B21" s="654">
        <f t="shared" si="0"/>
        <v>-1095.75</v>
      </c>
      <c r="C21" s="667" t="str">
        <f>IF('General Information'!$B$22="","_",TEXT(MONTH(B21)/3,"#")) &amp; TEXT("Q ","") &amp; IF('General Information'!$B$22="","20__",TEXT(YEAR(B21),"#"))</f>
        <v>_Q 20__</v>
      </c>
      <c r="D21" s="668"/>
      <c r="E21" s="669"/>
      <c r="F21" s="670"/>
      <c r="H21" s="671" t="str">
        <f t="shared" si="1"/>
        <v>_Q 20__</v>
      </c>
      <c r="I21" s="672">
        <f t="shared" si="2"/>
        <v>0</v>
      </c>
      <c r="J21" s="673">
        <f t="shared" si="3"/>
        <v>0</v>
      </c>
      <c r="K21" s="674">
        <f t="shared" si="4"/>
        <v>0</v>
      </c>
      <c r="M21" s="671" t="str">
        <f t="shared" si="6"/>
        <v>_Q 20__</v>
      </c>
      <c r="N21" s="683">
        <f t="shared" si="7"/>
        <v>0</v>
      </c>
      <c r="O21" s="684">
        <f t="shared" si="8"/>
        <v>0</v>
      </c>
      <c r="P21" s="685">
        <f t="shared" si="9"/>
        <v>0</v>
      </c>
    </row>
    <row r="22" spans="1:16" x14ac:dyDescent="0.45">
      <c r="A22" s="596">
        <f t="shared" si="5"/>
        <v>3.25</v>
      </c>
      <c r="B22" s="654">
        <f t="shared" si="0"/>
        <v>-1004.4375</v>
      </c>
      <c r="C22" s="679" t="str">
        <f>IF('General Information'!$B$22="","_",TEXT(MONTH(B22)/3,"#")) &amp; TEXT("Q ","") &amp; IF('General Information'!$B$22="","20__",TEXT(YEAR(B22),"#"))</f>
        <v>_Q 20__</v>
      </c>
      <c r="D22" s="680"/>
      <c r="E22" s="681"/>
      <c r="F22" s="682"/>
      <c r="H22" s="659" t="str">
        <f t="shared" si="1"/>
        <v>_Q 20__</v>
      </c>
      <c r="I22" s="660">
        <f t="shared" si="2"/>
        <v>0</v>
      </c>
      <c r="J22" s="661">
        <f t="shared" si="3"/>
        <v>0</v>
      </c>
      <c r="K22" s="662">
        <f t="shared" si="4"/>
        <v>0</v>
      </c>
      <c r="M22" s="659" t="str">
        <f t="shared" si="6"/>
        <v>_Q 20__</v>
      </c>
      <c r="N22" s="686">
        <f t="shared" si="7"/>
        <v>0</v>
      </c>
      <c r="O22" s="687">
        <f t="shared" si="8"/>
        <v>0</v>
      </c>
      <c r="P22" s="688">
        <f t="shared" si="9"/>
        <v>0</v>
      </c>
    </row>
    <row r="23" spans="1:16" x14ac:dyDescent="0.45">
      <c r="A23" s="596">
        <f t="shared" si="5"/>
        <v>3.5</v>
      </c>
      <c r="B23" s="654">
        <f t="shared" si="0"/>
        <v>-913.125</v>
      </c>
      <c r="C23" s="667" t="str">
        <f>IF('General Information'!$B$22="","_",TEXT(MONTH(B23)/3,"#")) &amp; TEXT("Q ","") &amp; IF('General Information'!$B$22="","20__",TEXT(YEAR(B23),"#"))</f>
        <v>_Q 20__</v>
      </c>
      <c r="D23" s="668"/>
      <c r="E23" s="669"/>
      <c r="F23" s="670"/>
      <c r="H23" s="671" t="str">
        <f t="shared" si="1"/>
        <v>_Q 20__</v>
      </c>
      <c r="I23" s="672">
        <f t="shared" si="2"/>
        <v>0</v>
      </c>
      <c r="J23" s="673">
        <f t="shared" si="3"/>
        <v>0</v>
      </c>
      <c r="K23" s="674">
        <f t="shared" si="4"/>
        <v>0</v>
      </c>
      <c r="M23" s="671" t="str">
        <f t="shared" si="6"/>
        <v>_Q 20__</v>
      </c>
      <c r="N23" s="683">
        <f t="shared" si="7"/>
        <v>0</v>
      </c>
      <c r="O23" s="684">
        <f t="shared" si="8"/>
        <v>0</v>
      </c>
      <c r="P23" s="685">
        <f t="shared" si="9"/>
        <v>0</v>
      </c>
    </row>
    <row r="24" spans="1:16" x14ac:dyDescent="0.45">
      <c r="A24" s="596">
        <f t="shared" si="5"/>
        <v>3.75</v>
      </c>
      <c r="B24" s="654">
        <f t="shared" si="0"/>
        <v>-821.8125</v>
      </c>
      <c r="C24" s="679" t="str">
        <f>IF('General Information'!$B$22="","_",TEXT(MONTH(B24)/3,"#")) &amp; TEXT("Q ","") &amp; IF('General Information'!$B$22="","20__",TEXT(YEAR(B24),"#"))</f>
        <v>_Q 20__</v>
      </c>
      <c r="D24" s="680"/>
      <c r="E24" s="681"/>
      <c r="F24" s="682"/>
      <c r="H24" s="659" t="str">
        <f t="shared" si="1"/>
        <v>_Q 20__</v>
      </c>
      <c r="I24" s="660">
        <f t="shared" si="2"/>
        <v>0</v>
      </c>
      <c r="J24" s="661">
        <f t="shared" si="3"/>
        <v>0</v>
      </c>
      <c r="K24" s="662">
        <f t="shared" si="4"/>
        <v>0</v>
      </c>
      <c r="M24" s="659" t="str">
        <f t="shared" si="6"/>
        <v>_Q 20__</v>
      </c>
      <c r="N24" s="686">
        <f t="shared" si="7"/>
        <v>0</v>
      </c>
      <c r="O24" s="687">
        <f t="shared" si="8"/>
        <v>0</v>
      </c>
      <c r="P24" s="688">
        <f t="shared" si="9"/>
        <v>0</v>
      </c>
    </row>
    <row r="25" spans="1:16" x14ac:dyDescent="0.45">
      <c r="A25" s="596">
        <f t="shared" si="5"/>
        <v>4</v>
      </c>
      <c r="B25" s="654">
        <f t="shared" si="0"/>
        <v>-730.5</v>
      </c>
      <c r="C25" s="667" t="str">
        <f>IF('General Information'!$B$22="","_",TEXT(MONTH(B25)/3,"#")) &amp; TEXT("Q ","") &amp; IF('General Information'!$B$22="","20__",TEXT(YEAR(B25),"#"))</f>
        <v>_Q 20__</v>
      </c>
      <c r="D25" s="668"/>
      <c r="E25" s="669"/>
      <c r="F25" s="670"/>
      <c r="H25" s="689" t="str">
        <f t="shared" si="1"/>
        <v>_Q 20__</v>
      </c>
      <c r="I25" s="672">
        <f t="shared" si="2"/>
        <v>0</v>
      </c>
      <c r="J25" s="673">
        <f t="shared" si="3"/>
        <v>0</v>
      </c>
      <c r="K25" s="674">
        <f t="shared" si="4"/>
        <v>0</v>
      </c>
      <c r="M25" s="671" t="str">
        <f t="shared" si="6"/>
        <v>_Q 20__</v>
      </c>
      <c r="N25" s="683">
        <f t="shared" si="7"/>
        <v>0</v>
      </c>
      <c r="O25" s="684">
        <f t="shared" si="8"/>
        <v>0</v>
      </c>
      <c r="P25" s="685">
        <f t="shared" si="9"/>
        <v>0</v>
      </c>
    </row>
    <row r="26" spans="1:16" x14ac:dyDescent="0.45">
      <c r="A26" s="596">
        <f t="shared" si="5"/>
        <v>4.25</v>
      </c>
      <c r="B26" s="654">
        <f t="shared" si="0"/>
        <v>-639.1875</v>
      </c>
      <c r="C26" s="679" t="str">
        <f>IF('General Information'!$B$22="","_",TEXT(MONTH(B26)/3,"#")) &amp; TEXT("Q ","") &amp; IF('General Information'!$B$22="","20__",TEXT(YEAR(B26),"#"))</f>
        <v>_Q 20__</v>
      </c>
      <c r="D26" s="680"/>
      <c r="E26" s="681"/>
      <c r="F26" s="682"/>
      <c r="H26" s="659" t="str">
        <f t="shared" si="1"/>
        <v>_Q 20__</v>
      </c>
      <c r="I26" s="660">
        <f t="shared" si="2"/>
        <v>0</v>
      </c>
      <c r="J26" s="661">
        <f t="shared" si="3"/>
        <v>0</v>
      </c>
      <c r="K26" s="662">
        <f t="shared" si="4"/>
        <v>0</v>
      </c>
      <c r="M26" s="659" t="str">
        <f t="shared" si="6"/>
        <v>_Q 20__</v>
      </c>
      <c r="N26" s="686">
        <f t="shared" si="7"/>
        <v>0</v>
      </c>
      <c r="O26" s="687">
        <f t="shared" si="8"/>
        <v>0</v>
      </c>
      <c r="P26" s="688">
        <f t="shared" si="9"/>
        <v>0</v>
      </c>
    </row>
    <row r="27" spans="1:16" x14ac:dyDescent="0.45">
      <c r="A27" s="596">
        <f t="shared" si="5"/>
        <v>4.5</v>
      </c>
      <c r="B27" s="654">
        <f t="shared" si="0"/>
        <v>-547.875</v>
      </c>
      <c r="C27" s="667" t="str">
        <f>IF('General Information'!$B$22="","_",TEXT(MONTH(B27)/3,"#")) &amp; TEXT("Q ","") &amp; IF('General Information'!$B$22="","20__",TEXT(YEAR(B27),"#"))</f>
        <v>_Q 20__</v>
      </c>
      <c r="D27" s="668"/>
      <c r="E27" s="669"/>
      <c r="F27" s="670"/>
      <c r="H27" s="671" t="str">
        <f t="shared" si="1"/>
        <v>_Q 20__</v>
      </c>
      <c r="I27" s="672">
        <f t="shared" si="2"/>
        <v>0</v>
      </c>
      <c r="J27" s="673">
        <f t="shared" si="3"/>
        <v>0</v>
      </c>
      <c r="K27" s="674">
        <f t="shared" si="4"/>
        <v>0</v>
      </c>
      <c r="M27" s="671" t="str">
        <f t="shared" si="6"/>
        <v>_Q 20__</v>
      </c>
      <c r="N27" s="683">
        <f t="shared" si="7"/>
        <v>0</v>
      </c>
      <c r="O27" s="684">
        <f t="shared" si="8"/>
        <v>0</v>
      </c>
      <c r="P27" s="685">
        <f t="shared" si="9"/>
        <v>0</v>
      </c>
    </row>
    <row r="28" spans="1:16" x14ac:dyDescent="0.45">
      <c r="A28" s="596">
        <f t="shared" si="5"/>
        <v>4.75</v>
      </c>
      <c r="B28" s="654">
        <f t="shared" si="0"/>
        <v>-456.5625</v>
      </c>
      <c r="C28" s="679" t="str">
        <f>IF('General Information'!$B$22="","_",TEXT(MONTH(B28)/3,"#")) &amp; TEXT("Q ","") &amp; IF('General Information'!$B$22="","20__",TEXT(YEAR(B28),"#"))</f>
        <v>_Q 20__</v>
      </c>
      <c r="D28" s="680"/>
      <c r="E28" s="681"/>
      <c r="F28" s="682"/>
      <c r="H28" s="659" t="str">
        <f t="shared" si="1"/>
        <v>_Q 20__</v>
      </c>
      <c r="I28" s="660">
        <f t="shared" si="2"/>
        <v>0</v>
      </c>
      <c r="J28" s="661">
        <f t="shared" si="3"/>
        <v>0</v>
      </c>
      <c r="K28" s="662">
        <f t="shared" si="4"/>
        <v>0</v>
      </c>
      <c r="M28" s="659" t="str">
        <f t="shared" si="6"/>
        <v>_Q 20__</v>
      </c>
      <c r="N28" s="686">
        <f t="shared" si="7"/>
        <v>0</v>
      </c>
      <c r="O28" s="687">
        <f t="shared" si="8"/>
        <v>0</v>
      </c>
      <c r="P28" s="688">
        <f t="shared" si="9"/>
        <v>0</v>
      </c>
    </row>
    <row r="29" spans="1:16" x14ac:dyDescent="0.45">
      <c r="A29" s="596">
        <f t="shared" si="5"/>
        <v>5</v>
      </c>
      <c r="B29" s="654">
        <f t="shared" si="0"/>
        <v>-365.25</v>
      </c>
      <c r="C29" s="667" t="str">
        <f>IF('General Information'!$B$22="","_",TEXT(MONTH(B29)/3,"#")) &amp; TEXT("Q ","") &amp; IF('General Information'!$B$22="","20__",TEXT(YEAR(B29),"#"))</f>
        <v>_Q 20__</v>
      </c>
      <c r="D29" s="668"/>
      <c r="E29" s="669"/>
      <c r="F29" s="670"/>
      <c r="H29" s="671" t="str">
        <f t="shared" si="1"/>
        <v>_Q 20__</v>
      </c>
      <c r="I29" s="672">
        <f t="shared" si="2"/>
        <v>0</v>
      </c>
      <c r="J29" s="673">
        <f t="shared" si="3"/>
        <v>0</v>
      </c>
      <c r="K29" s="674">
        <f t="shared" si="4"/>
        <v>0</v>
      </c>
      <c r="M29" s="671" t="str">
        <f t="shared" si="6"/>
        <v>_Q 20__</v>
      </c>
      <c r="N29" s="683">
        <f t="shared" si="7"/>
        <v>0</v>
      </c>
      <c r="O29" s="684">
        <f t="shared" si="8"/>
        <v>0</v>
      </c>
      <c r="P29" s="685">
        <f t="shared" si="9"/>
        <v>0</v>
      </c>
    </row>
    <row r="30" spans="1:16" x14ac:dyDescent="0.45">
      <c r="A30" s="596">
        <f t="shared" si="5"/>
        <v>5.25</v>
      </c>
      <c r="B30" s="654">
        <f t="shared" si="0"/>
        <v>-273.9375</v>
      </c>
      <c r="C30" s="679" t="str">
        <f>IF('General Information'!$B$22="","_",TEXT(MONTH(B30)/3,"#")) &amp; TEXT("Q ","") &amp; IF('General Information'!$B$22="","20__",TEXT(YEAR(B30),"#"))</f>
        <v>_Q 20__</v>
      </c>
      <c r="D30" s="680"/>
      <c r="E30" s="681"/>
      <c r="F30" s="682"/>
      <c r="H30" s="659" t="str">
        <f t="shared" si="1"/>
        <v>_Q 20__</v>
      </c>
      <c r="I30" s="660">
        <f t="shared" si="2"/>
        <v>0</v>
      </c>
      <c r="J30" s="661">
        <f t="shared" si="3"/>
        <v>0</v>
      </c>
      <c r="K30" s="662">
        <f t="shared" si="4"/>
        <v>0</v>
      </c>
      <c r="M30" s="659" t="str">
        <f t="shared" si="6"/>
        <v>_Q 20__</v>
      </c>
      <c r="N30" s="686">
        <f t="shared" si="7"/>
        <v>0</v>
      </c>
      <c r="O30" s="687">
        <f t="shared" si="8"/>
        <v>0</v>
      </c>
      <c r="P30" s="688">
        <f t="shared" si="9"/>
        <v>0</v>
      </c>
    </row>
    <row r="31" spans="1:16" x14ac:dyDescent="0.45">
      <c r="A31" s="596">
        <f t="shared" si="5"/>
        <v>5.5</v>
      </c>
      <c r="B31" s="654">
        <f t="shared" si="0"/>
        <v>-182.625</v>
      </c>
      <c r="C31" s="667" t="str">
        <f>IF('General Information'!$B$22="","_",TEXT(MONTH(B31)/3,"#")) &amp; TEXT("Q ","") &amp; IF('General Information'!$B$22="","20__",TEXT(YEAR(B31),"#"))</f>
        <v>_Q 20__</v>
      </c>
      <c r="D31" s="668"/>
      <c r="E31" s="669"/>
      <c r="F31" s="670"/>
      <c r="H31" s="671" t="str">
        <f t="shared" si="1"/>
        <v>_Q 20__</v>
      </c>
      <c r="I31" s="672">
        <f t="shared" si="2"/>
        <v>0</v>
      </c>
      <c r="J31" s="673">
        <f t="shared" si="3"/>
        <v>0</v>
      </c>
      <c r="K31" s="674">
        <f t="shared" si="4"/>
        <v>0</v>
      </c>
      <c r="M31" s="671" t="str">
        <f t="shared" si="6"/>
        <v>_Q 20__</v>
      </c>
      <c r="N31" s="683">
        <f t="shared" si="7"/>
        <v>0</v>
      </c>
      <c r="O31" s="684">
        <f t="shared" si="8"/>
        <v>0</v>
      </c>
      <c r="P31" s="685">
        <f t="shared" si="9"/>
        <v>0</v>
      </c>
    </row>
    <row r="32" spans="1:16" x14ac:dyDescent="0.45">
      <c r="A32" s="596">
        <f t="shared" si="5"/>
        <v>5.75</v>
      </c>
      <c r="B32" s="654">
        <f>B33-91.3125</f>
        <v>-91.3125</v>
      </c>
      <c r="C32" s="679" t="str">
        <f>IF('General Information'!$B$22="","_",TEXT(MONTH(B32)/3,"#")) &amp; TEXT("Q ","") &amp; IF('General Information'!$B$22="","20__",TEXT(YEAR(B32),"#"))</f>
        <v>_Q 20__</v>
      </c>
      <c r="D32" s="680"/>
      <c r="E32" s="681"/>
      <c r="F32" s="682"/>
      <c r="H32" s="659" t="str">
        <f t="shared" ref="H32:H33" si="10">C32</f>
        <v>_Q 20__</v>
      </c>
      <c r="I32" s="660">
        <f t="shared" si="2"/>
        <v>0</v>
      </c>
      <c r="J32" s="661">
        <f t="shared" si="3"/>
        <v>0</v>
      </c>
      <c r="K32" s="662">
        <f t="shared" si="4"/>
        <v>0</v>
      </c>
      <c r="M32" s="659" t="str">
        <f t="shared" ref="M32:M33" si="11">H32</f>
        <v>_Q 20__</v>
      </c>
      <c r="N32" s="686">
        <f t="shared" si="7"/>
        <v>0</v>
      </c>
      <c r="O32" s="687">
        <f t="shared" si="8"/>
        <v>0</v>
      </c>
      <c r="P32" s="688">
        <f t="shared" si="9"/>
        <v>0</v>
      </c>
    </row>
    <row r="33" spans="1:16" x14ac:dyDescent="0.45">
      <c r="A33" s="596">
        <f t="shared" si="5"/>
        <v>6</v>
      </c>
      <c r="B33" s="654">
        <f>'General Information'!B22</f>
        <v>0</v>
      </c>
      <c r="C33" s="690" t="str">
        <f>IF('General Information'!$B$22="","_",TEXT(MONTH(B33)/3,"#")) &amp; TEXT("Q ","") &amp; IF('General Information'!$B$22="","20__",TEXT(YEAR(B33),"#"))</f>
        <v>_Q 20__</v>
      </c>
      <c r="D33" s="691"/>
      <c r="E33" s="692"/>
      <c r="F33" s="693"/>
      <c r="H33" s="694" t="str">
        <f t="shared" si="10"/>
        <v>_Q 20__</v>
      </c>
      <c r="I33" s="695">
        <f t="shared" si="2"/>
        <v>0</v>
      </c>
      <c r="J33" s="696">
        <f t="shared" si="3"/>
        <v>0</v>
      </c>
      <c r="K33" s="697">
        <f t="shared" si="4"/>
        <v>0</v>
      </c>
      <c r="M33" s="694" t="str">
        <f t="shared" si="11"/>
        <v>_Q 20__</v>
      </c>
      <c r="N33" s="695">
        <f t="shared" si="7"/>
        <v>0</v>
      </c>
      <c r="O33" s="696">
        <f t="shared" si="8"/>
        <v>0</v>
      </c>
      <c r="P33" s="697">
        <f t="shared" si="9"/>
        <v>0</v>
      </c>
    </row>
    <row r="34" spans="1:16" x14ac:dyDescent="0.45">
      <c r="A34" s="596"/>
      <c r="B34" s="654"/>
      <c r="C34" s="654"/>
      <c r="D34" s="698"/>
      <c r="E34" s="698"/>
      <c r="F34" s="699"/>
      <c r="H34" s="654"/>
      <c r="I34" s="700"/>
      <c r="J34" s="701"/>
      <c r="K34" s="702"/>
      <c r="M34" s="654"/>
      <c r="N34" s="700"/>
      <c r="O34" s="701"/>
      <c r="P34" s="702"/>
    </row>
    <row r="35" spans="1:16" ht="14.4" customHeight="1" x14ac:dyDescent="0.45">
      <c r="A35" s="633"/>
      <c r="B35" s="633"/>
      <c r="C35" s="634"/>
      <c r="G35" s="1085"/>
      <c r="H35" s="1280"/>
      <c r="I35" s="1280"/>
      <c r="J35" s="1280"/>
      <c r="K35" s="1280"/>
      <c r="M35" s="654"/>
      <c r="N35" s="700"/>
      <c r="O35" s="701"/>
      <c r="P35" s="702"/>
    </row>
    <row r="36" spans="1:16" ht="14.4" customHeight="1" x14ac:dyDescent="0.45">
      <c r="A36" s="633"/>
      <c r="B36" s="633"/>
      <c r="C36" s="1281" t="s">
        <v>377</v>
      </c>
      <c r="D36" s="1281"/>
      <c r="E36" s="1281"/>
      <c r="F36" s="1281"/>
      <c r="G36" s="1281"/>
      <c r="H36" s="1281"/>
      <c r="I36" s="1281"/>
      <c r="J36" s="1281"/>
      <c r="K36" s="1281"/>
      <c r="M36" s="1173" t="s">
        <v>378</v>
      </c>
      <c r="N36" s="1260"/>
      <c r="O36" s="1260"/>
      <c r="P36" s="1174"/>
    </row>
    <row r="37" spans="1:16" ht="38.4" x14ac:dyDescent="0.45">
      <c r="C37" s="1282"/>
      <c r="D37" s="1282"/>
      <c r="E37" s="1282"/>
      <c r="F37" s="1282"/>
      <c r="G37" s="1282"/>
      <c r="H37" s="1282"/>
      <c r="I37" s="1282"/>
      <c r="J37" s="1282"/>
      <c r="K37" s="1282"/>
      <c r="M37" s="650" t="s">
        <v>379</v>
      </c>
      <c r="N37" s="651" t="s">
        <v>374</v>
      </c>
      <c r="O37" s="652" t="s">
        <v>375</v>
      </c>
      <c r="P37" s="653" t="s">
        <v>376</v>
      </c>
    </row>
    <row r="38" spans="1:16" x14ac:dyDescent="0.45">
      <c r="C38" s="1251"/>
      <c r="D38" s="1252"/>
      <c r="E38" s="1252"/>
      <c r="F38" s="1252"/>
      <c r="G38" s="1252"/>
      <c r="H38" s="1252"/>
      <c r="I38" s="1252"/>
      <c r="J38" s="1252"/>
      <c r="K38" s="1253"/>
      <c r="M38" s="617" t="s">
        <v>353</v>
      </c>
      <c r="N38" s="703" cm="1">
        <f t="array" ref="N38">_xlfn.SINGLE(IFERROR(LOGEST(N14:N33,$A14:$A33)-1,0))</f>
        <v>0</v>
      </c>
      <c r="O38" s="704">
        <f>IFERROR(LOGEST(O14:O33,$A14:$A33)-1,0)</f>
        <v>0</v>
      </c>
      <c r="P38" s="705">
        <f>IFERROR(LOGEST(P14:P33,$A14:$A33)-1,0)</f>
        <v>0</v>
      </c>
    </row>
    <row r="39" spans="1:16" x14ac:dyDescent="0.45">
      <c r="C39" s="1180"/>
      <c r="D39" s="1181"/>
      <c r="E39" s="1181"/>
      <c r="F39" s="1181"/>
      <c r="G39" s="1181"/>
      <c r="H39" s="1181"/>
      <c r="I39" s="1181"/>
      <c r="J39" s="1181"/>
      <c r="K39" s="1182"/>
      <c r="M39" s="706" t="s">
        <v>354</v>
      </c>
      <c r="N39" s="707">
        <f>IFERROR(LOGEST(N18:N33,$A18:$A33)-1,0)</f>
        <v>0</v>
      </c>
      <c r="O39" s="708">
        <f>IFERROR(LOGEST(O18:O33,$A18:$A33)-1,0)</f>
        <v>0</v>
      </c>
      <c r="P39" s="709">
        <f>IFERROR(LOGEST(P18:P33,$A18:$A33)-1,0)</f>
        <v>0</v>
      </c>
    </row>
    <row r="40" spans="1:16" x14ac:dyDescent="0.45">
      <c r="C40" s="1180"/>
      <c r="D40" s="1181"/>
      <c r="E40" s="1181"/>
      <c r="F40" s="1181"/>
      <c r="G40" s="1181"/>
      <c r="H40" s="1181"/>
      <c r="I40" s="1181"/>
      <c r="J40" s="1181"/>
      <c r="K40" s="1182"/>
      <c r="M40" s="617" t="s">
        <v>356</v>
      </c>
      <c r="N40" s="710" cm="1">
        <f t="array" ref="N40">_xlfn.SINGLE(IFERROR(LOGEST(N22:N33,$A22:$A33)-1,0))</f>
        <v>0</v>
      </c>
      <c r="O40" s="711">
        <f>IFERROR(LOGEST(O22:O33,$A22:$A33)-1,0)</f>
        <v>0</v>
      </c>
      <c r="P40" s="712">
        <f>IFERROR(LOGEST(P22:P33,$A22:$A33)-1,0)</f>
        <v>0</v>
      </c>
    </row>
    <row r="41" spans="1:16" x14ac:dyDescent="0.45">
      <c r="C41" s="1180"/>
      <c r="D41" s="1181"/>
      <c r="E41" s="1181"/>
      <c r="F41" s="1181"/>
      <c r="G41" s="1181"/>
      <c r="H41" s="1181"/>
      <c r="I41" s="1181"/>
      <c r="J41" s="1181"/>
      <c r="K41" s="1182"/>
      <c r="M41" s="706" t="s">
        <v>357</v>
      </c>
      <c r="N41" s="707" cm="1">
        <f t="array" ref="N41">_xlfn.SINGLE(IFERROR(LOGEST(N26:N33,$A26:$A33)-1,0))</f>
        <v>0</v>
      </c>
      <c r="O41" s="708">
        <f>IFERROR(LOGEST(O26:O33,$A26:$A33)-1,0)</f>
        <v>0</v>
      </c>
      <c r="P41" s="709">
        <f>IFERROR(LOGEST(P26:P33,$A26:$A33)-1,0)</f>
        <v>0</v>
      </c>
    </row>
    <row r="42" spans="1:16" x14ac:dyDescent="0.45">
      <c r="C42" s="1180"/>
      <c r="D42" s="1181"/>
      <c r="E42" s="1181"/>
      <c r="F42" s="1181"/>
      <c r="G42" s="1181"/>
      <c r="H42" s="1181"/>
      <c r="I42" s="1181"/>
      <c r="J42" s="1181"/>
      <c r="K42" s="1182"/>
      <c r="M42" s="617" t="s">
        <v>358</v>
      </c>
      <c r="N42" s="710">
        <f>IFERROR(LOGEST(N28:N33,$A28:$A33)-1,0)</f>
        <v>0</v>
      </c>
      <c r="O42" s="711">
        <f>IFERROR(LOGEST(O28:O33,$A28:$A33)-1,0)</f>
        <v>0</v>
      </c>
      <c r="P42" s="712">
        <f>IFERROR(LOGEST(P28:P33,$A28:$A33)-1,0)</f>
        <v>0</v>
      </c>
    </row>
    <row r="43" spans="1:16" x14ac:dyDescent="0.45">
      <c r="C43" s="1183"/>
      <c r="D43" s="1184"/>
      <c r="E43" s="1184"/>
      <c r="F43" s="1184"/>
      <c r="G43" s="1184"/>
      <c r="H43" s="1184"/>
      <c r="I43" s="1184"/>
      <c r="J43" s="1184"/>
      <c r="K43" s="1185"/>
      <c r="M43" s="631" t="s">
        <v>359</v>
      </c>
      <c r="N43" s="695">
        <f>IFERROR(LOGEST(N30:N33,$A30:$A33)-1,0)</f>
        <v>0</v>
      </c>
      <c r="O43" s="713">
        <f>IFERROR(LOGEST(O30:O33,$A30:$A33)-1,0)</f>
        <v>0</v>
      </c>
      <c r="P43" s="714">
        <f>IFERROR(LOGEST(P30:P33,$A30:$A33)-1,0)</f>
        <v>0</v>
      </c>
    </row>
    <row r="44" spans="1:16" x14ac:dyDescent="0.45">
      <c r="C44" s="371"/>
      <c r="D44" s="371"/>
      <c r="E44" s="371"/>
      <c r="F44" s="371"/>
      <c r="M44" s="1173" t="s">
        <v>380</v>
      </c>
      <c r="N44" s="1260"/>
      <c r="O44" s="1260"/>
      <c r="P44" s="1174"/>
    </row>
    <row r="45" spans="1:16" x14ac:dyDescent="0.45">
      <c r="H45" s="257"/>
      <c r="I45" s="257"/>
      <c r="J45" s="257"/>
      <c r="K45" s="257"/>
      <c r="L45" s="715">
        <v>-5</v>
      </c>
      <c r="M45" s="617" t="s">
        <v>153</v>
      </c>
      <c r="N45" s="716"/>
      <c r="O45" s="717"/>
      <c r="P45" s="718">
        <f>(1+N45)*(1+O45)-1</f>
        <v>0</v>
      </c>
    </row>
    <row r="46" spans="1:16" x14ac:dyDescent="0.45">
      <c r="H46" s="257"/>
      <c r="I46" s="257"/>
      <c r="J46" s="257"/>
      <c r="K46" s="257"/>
      <c r="L46" s="715">
        <f>L45-1</f>
        <v>-6</v>
      </c>
      <c r="M46" s="719" t="s">
        <v>154</v>
      </c>
      <c r="N46" s="720"/>
      <c r="O46" s="721"/>
      <c r="P46" s="722">
        <f>(1+N46)*(1+O46)-1</f>
        <v>0</v>
      </c>
    </row>
    <row r="47" spans="1:16" x14ac:dyDescent="0.45">
      <c r="H47" s="723"/>
      <c r="I47" s="723"/>
      <c r="J47" s="723"/>
      <c r="K47" s="723"/>
    </row>
    <row r="48" spans="1:16" x14ac:dyDescent="0.45">
      <c r="H48" s="257"/>
      <c r="I48" s="257"/>
      <c r="J48" s="257"/>
      <c r="K48" s="257"/>
    </row>
    <row r="49" spans="8:16" x14ac:dyDescent="0.45">
      <c r="H49" s="257"/>
      <c r="I49" s="257"/>
      <c r="J49" s="257"/>
      <c r="K49" s="257"/>
    </row>
    <row r="50" spans="8:16" x14ac:dyDescent="0.45">
      <c r="H50" s="257"/>
      <c r="I50" s="257"/>
      <c r="J50" s="257"/>
      <c r="K50" s="257"/>
    </row>
    <row r="51" spans="8:16" x14ac:dyDescent="0.45">
      <c r="H51" s="257"/>
      <c r="I51" s="257"/>
      <c r="J51" s="257"/>
      <c r="K51" s="257"/>
      <c r="N51" s="568"/>
      <c r="O51" s="568"/>
      <c r="P51" s="568"/>
    </row>
    <row r="52" spans="8:16" x14ac:dyDescent="0.45">
      <c r="H52" s="257"/>
      <c r="I52" s="257"/>
      <c r="J52" s="257"/>
      <c r="K52" s="257"/>
    </row>
    <row r="53" spans="8:16" x14ac:dyDescent="0.45">
      <c r="H53" s="257"/>
      <c r="I53" s="257"/>
      <c r="J53" s="257"/>
      <c r="K53" s="257"/>
    </row>
    <row r="54" spans="8:16" x14ac:dyDescent="0.45">
      <c r="H54" s="257"/>
      <c r="I54" s="257"/>
      <c r="J54" s="257"/>
      <c r="K54" s="257"/>
      <c r="L54" s="257"/>
      <c r="M54" s="257"/>
      <c r="N54" s="257"/>
      <c r="O54" s="257"/>
      <c r="P54" s="257"/>
    </row>
    <row r="55" spans="8:16" x14ac:dyDescent="0.45">
      <c r="H55" s="723"/>
      <c r="I55" s="723"/>
      <c r="J55" s="723"/>
      <c r="K55" s="257"/>
      <c r="L55" s="257"/>
      <c r="M55" s="257"/>
      <c r="N55" s="257"/>
      <c r="O55" s="257"/>
      <c r="P55" s="257"/>
    </row>
    <row r="56" spans="8:16" x14ac:dyDescent="0.45">
      <c r="H56" s="257"/>
      <c r="I56" s="257"/>
      <c r="J56" s="257"/>
      <c r="K56" s="257"/>
      <c r="L56" s="723"/>
      <c r="M56" s="257"/>
      <c r="N56" s="257"/>
      <c r="O56" s="257"/>
      <c r="P56" s="257"/>
    </row>
    <row r="57" spans="8:16" x14ac:dyDescent="0.45">
      <c r="H57" s="257"/>
      <c r="I57" s="257"/>
      <c r="J57" s="257"/>
      <c r="K57" s="257"/>
      <c r="L57" s="257"/>
      <c r="M57" s="723"/>
      <c r="N57" s="723"/>
      <c r="O57" s="723"/>
      <c r="P57" s="723"/>
    </row>
    <row r="58" spans="8:16" x14ac:dyDescent="0.45">
      <c r="H58" s="257"/>
      <c r="I58" s="257"/>
      <c r="J58" s="257"/>
      <c r="K58" s="257"/>
      <c r="L58" s="257"/>
      <c r="M58" s="257"/>
      <c r="N58" s="257"/>
      <c r="O58" s="257"/>
      <c r="P58" s="257"/>
    </row>
    <row r="59" spans="8:16" x14ac:dyDescent="0.45">
      <c r="H59" s="257"/>
      <c r="I59" s="257"/>
      <c r="J59" s="257"/>
      <c r="K59" s="257"/>
      <c r="L59" s="257"/>
      <c r="M59" s="257"/>
      <c r="N59" s="257"/>
      <c r="O59" s="257"/>
      <c r="P59" s="257"/>
    </row>
    <row r="60" spans="8:16" x14ac:dyDescent="0.45">
      <c r="H60" s="257"/>
      <c r="I60" s="257"/>
      <c r="J60" s="257"/>
      <c r="K60" s="257"/>
      <c r="L60" s="257"/>
      <c r="M60" s="257"/>
      <c r="N60" s="257"/>
      <c r="O60" s="257"/>
      <c r="P60" s="257"/>
    </row>
    <row r="61" spans="8:16" x14ac:dyDescent="0.45">
      <c r="H61" s="257"/>
      <c r="I61" s="257"/>
      <c r="J61" s="257"/>
      <c r="K61" s="257"/>
      <c r="L61" s="257"/>
      <c r="M61" s="257"/>
      <c r="N61" s="257"/>
      <c r="O61" s="257"/>
      <c r="P61" s="257"/>
    </row>
    <row r="62" spans="8:16" x14ac:dyDescent="0.45">
      <c r="H62" s="257"/>
      <c r="I62" s="257"/>
      <c r="J62" s="257"/>
      <c r="K62" s="257"/>
      <c r="L62" s="257"/>
      <c r="M62" s="257"/>
      <c r="N62" s="257"/>
      <c r="O62" s="257"/>
      <c r="P62" s="257"/>
    </row>
    <row r="63" spans="8:16" x14ac:dyDescent="0.45">
      <c r="H63" s="257"/>
      <c r="I63" s="257"/>
      <c r="J63" s="257"/>
      <c r="K63" s="257"/>
      <c r="L63" s="257"/>
      <c r="M63" s="257"/>
      <c r="N63" s="257"/>
      <c r="O63" s="257"/>
      <c r="P63" s="257"/>
    </row>
    <row r="64" spans="8:16" x14ac:dyDescent="0.45">
      <c r="H64" s="257"/>
      <c r="I64" s="257"/>
      <c r="J64" s="257"/>
      <c r="K64" s="257"/>
      <c r="L64" s="257"/>
      <c r="M64" s="257"/>
      <c r="N64" s="257"/>
      <c r="O64" s="257"/>
      <c r="P64" s="257"/>
    </row>
    <row r="65" spans="8:16" x14ac:dyDescent="0.45">
      <c r="H65" s="257"/>
      <c r="I65" s="257"/>
      <c r="J65" s="257"/>
      <c r="K65" s="257"/>
      <c r="L65" s="257"/>
      <c r="M65" s="257"/>
      <c r="N65" s="257"/>
      <c r="O65" s="257"/>
      <c r="P65" s="257"/>
    </row>
    <row r="66" spans="8:16" x14ac:dyDescent="0.45">
      <c r="H66" s="257"/>
      <c r="I66" s="257"/>
      <c r="J66" s="257"/>
      <c r="K66" s="257"/>
      <c r="L66" s="257"/>
      <c r="M66" s="257"/>
      <c r="N66" s="257"/>
      <c r="O66" s="257"/>
      <c r="P66" s="257"/>
    </row>
    <row r="67" spans="8:16" x14ac:dyDescent="0.45">
      <c r="H67" s="257"/>
      <c r="I67" s="257"/>
      <c r="J67" s="257"/>
      <c r="K67" s="257"/>
      <c r="L67" s="257"/>
      <c r="M67" s="257"/>
      <c r="N67" s="257"/>
      <c r="O67" s="257"/>
      <c r="P67" s="257"/>
    </row>
    <row r="68" spans="8:16" x14ac:dyDescent="0.45">
      <c r="H68" s="257"/>
      <c r="I68" s="257"/>
      <c r="J68" s="257"/>
      <c r="K68" s="257"/>
      <c r="L68" s="257"/>
      <c r="M68" s="257"/>
      <c r="N68" s="257"/>
      <c r="O68" s="257"/>
      <c r="P68" s="257"/>
    </row>
    <row r="69" spans="8:16" x14ac:dyDescent="0.45">
      <c r="H69" s="257"/>
      <c r="I69" s="257"/>
      <c r="J69" s="257"/>
      <c r="K69" s="257"/>
      <c r="L69" s="257"/>
      <c r="M69" s="257"/>
      <c r="N69" s="257"/>
      <c r="O69" s="257"/>
      <c r="P69" s="257"/>
    </row>
    <row r="70" spans="8:16" x14ac:dyDescent="0.45">
      <c r="H70" s="257"/>
      <c r="I70" s="257"/>
      <c r="J70" s="257"/>
      <c r="K70" s="257"/>
      <c r="L70" s="257"/>
      <c r="M70" s="257"/>
      <c r="N70" s="257"/>
      <c r="O70" s="257"/>
      <c r="P70" s="257"/>
    </row>
    <row r="71" spans="8:16" x14ac:dyDescent="0.45">
      <c r="H71" s="257"/>
      <c r="I71" s="257"/>
      <c r="J71" s="257"/>
      <c r="K71" s="257"/>
      <c r="L71" s="257"/>
      <c r="M71" s="257"/>
      <c r="N71" s="257"/>
      <c r="O71" s="257"/>
      <c r="P71" s="257"/>
    </row>
    <row r="72" spans="8:16" x14ac:dyDescent="0.45">
      <c r="H72" s="257"/>
      <c r="I72" s="257"/>
      <c r="J72" s="257"/>
      <c r="K72" s="257"/>
      <c r="L72" s="257"/>
      <c r="M72" s="257"/>
      <c r="N72" s="257"/>
      <c r="O72" s="257"/>
      <c r="P72" s="257"/>
    </row>
    <row r="73" spans="8:16" x14ac:dyDescent="0.45">
      <c r="H73" s="257"/>
      <c r="I73" s="257"/>
      <c r="J73" s="257"/>
      <c r="K73" s="257"/>
      <c r="L73" s="257"/>
      <c r="M73" s="257"/>
      <c r="N73" s="257"/>
      <c r="O73" s="257"/>
      <c r="P73" s="257"/>
    </row>
    <row r="74" spans="8:16" x14ac:dyDescent="0.45">
      <c r="H74" s="257"/>
      <c r="I74" s="257"/>
      <c r="J74" s="257"/>
      <c r="K74" s="257"/>
      <c r="L74" s="257"/>
      <c r="M74" s="257"/>
      <c r="N74" s="257"/>
      <c r="O74" s="257"/>
      <c r="P74" s="257"/>
    </row>
    <row r="75" spans="8:16" x14ac:dyDescent="0.45">
      <c r="H75" s="257"/>
      <c r="I75" s="257"/>
      <c r="J75" s="257"/>
      <c r="K75" s="257"/>
      <c r="L75" s="257"/>
      <c r="M75" s="257"/>
      <c r="N75" s="257"/>
      <c r="O75" s="257"/>
      <c r="P75" s="257"/>
    </row>
    <row r="76" spans="8:16" x14ac:dyDescent="0.45">
      <c r="H76" s="257"/>
      <c r="I76" s="257"/>
      <c r="J76" s="257"/>
      <c r="K76" s="257"/>
      <c r="L76" s="257"/>
      <c r="M76" s="257"/>
      <c r="N76" s="257"/>
      <c r="O76" s="257"/>
      <c r="P76" s="257"/>
    </row>
    <row r="77" spans="8:16" x14ac:dyDescent="0.45">
      <c r="L77" s="257"/>
      <c r="M77" s="257"/>
      <c r="N77" s="257"/>
      <c r="O77" s="257"/>
      <c r="P77" s="257"/>
    </row>
    <row r="78" spans="8:16" x14ac:dyDescent="0.45">
      <c r="L78" s="257"/>
      <c r="M78" s="257"/>
      <c r="N78" s="257"/>
      <c r="O78" s="257"/>
      <c r="P78" s="257"/>
    </row>
    <row r="79" spans="8:16" x14ac:dyDescent="0.45">
      <c r="L79" s="257"/>
      <c r="M79" s="257"/>
      <c r="N79" s="257"/>
      <c r="O79" s="257"/>
      <c r="P79" s="257"/>
    </row>
    <row r="80" spans="8:16" x14ac:dyDescent="0.45">
      <c r="L80" s="257"/>
      <c r="M80" s="257"/>
      <c r="N80" s="257"/>
      <c r="O80" s="257"/>
      <c r="P80" s="257"/>
    </row>
    <row r="81" spans="12:16" x14ac:dyDescent="0.45">
      <c r="L81" s="257"/>
      <c r="M81" s="257"/>
      <c r="N81" s="257"/>
      <c r="O81" s="257"/>
      <c r="P81" s="257"/>
    </row>
    <row r="82" spans="12:16" x14ac:dyDescent="0.45">
      <c r="L82" s="257"/>
      <c r="M82" s="257"/>
      <c r="N82" s="257"/>
      <c r="O82" s="257"/>
      <c r="P82" s="257"/>
    </row>
    <row r="83" spans="12:16" x14ac:dyDescent="0.45">
      <c r="L83" s="257"/>
      <c r="M83" s="257"/>
      <c r="N83" s="257"/>
      <c r="O83" s="257"/>
      <c r="P83" s="257"/>
    </row>
    <row r="84" spans="12:16" x14ac:dyDescent="0.45">
      <c r="L84" s="257"/>
      <c r="M84" s="257"/>
      <c r="N84" s="257"/>
      <c r="O84" s="257"/>
      <c r="P84" s="257"/>
    </row>
    <row r="85" spans="12:16" x14ac:dyDescent="0.45">
      <c r="L85" s="257"/>
      <c r="M85" s="257"/>
      <c r="N85" s="257"/>
      <c r="O85" s="257"/>
      <c r="P85" s="257"/>
    </row>
    <row r="86" spans="12:16" x14ac:dyDescent="0.45">
      <c r="M86" s="257"/>
      <c r="N86" s="257"/>
      <c r="O86" s="257"/>
      <c r="P86" s="257"/>
    </row>
  </sheetData>
  <sheetProtection sheet="1" objects="1" scenarios="1"/>
  <sortState xmlns:xlrd2="http://schemas.microsoft.com/office/spreadsheetml/2017/richdata2" ref="N70:N89">
    <sortCondition ref="N70"/>
  </sortState>
  <mergeCells count="9">
    <mergeCell ref="C5:P5"/>
    <mergeCell ref="M44:P44"/>
    <mergeCell ref="C8:F8"/>
    <mergeCell ref="M8:P8"/>
    <mergeCell ref="H8:K8"/>
    <mergeCell ref="M36:P36"/>
    <mergeCell ref="H35:K35"/>
    <mergeCell ref="C36:K37"/>
    <mergeCell ref="C38:K43"/>
  </mergeCells>
  <conditionalFormatting sqref="C38">
    <cfRule type="expression" dxfId="115" priority="2">
      <formula>$C$38=""</formula>
    </cfRule>
  </conditionalFormatting>
  <conditionalFormatting sqref="D10:F33 N45:O46">
    <cfRule type="expression" dxfId="114" priority="5">
      <formula>D10=""</formula>
    </cfRule>
  </conditionalFormatting>
  <conditionalFormatting sqref="O2:O3">
    <cfRule type="cellIs" dxfId="113" priority="1" operator="equal">
      <formula>""</formula>
    </cfRule>
  </conditionalFormatting>
  <printOptions horizontalCentered="1"/>
  <pageMargins left="0.4" right="0.4" top="0.5" bottom="0.25" header="0.3" footer="0.3"/>
  <pageSetup scale="61" orientation="landscape" r:id="rId1"/>
  <ignoredErrors>
    <ignoredError sqref="Q38 Q37 L49 L47 N13:O33" formulaRange="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dimension ref="A1:G41"/>
  <sheetViews>
    <sheetView showGridLines="0" zoomScaleNormal="100" workbookViewId="0"/>
  </sheetViews>
  <sheetFormatPr defaultColWidth="8.88671875" defaultRowHeight="19.2" x14ac:dyDescent="0.45"/>
  <cols>
    <col min="1" max="1" width="4.6640625" style="257" customWidth="1"/>
    <col min="2" max="5" width="14.109375" style="257" customWidth="1"/>
    <col min="6" max="6" width="13.109375" style="257" customWidth="1"/>
    <col min="7" max="7" width="16.33203125" style="257" customWidth="1"/>
    <col min="8" max="16384" width="8.88671875" style="257"/>
  </cols>
  <sheetData>
    <row r="1" spans="1:7" x14ac:dyDescent="0.45">
      <c r="A1" s="1055" t="str">
        <f>'General Information'!$A$1</f>
        <v>Texas Department of Insurance</v>
      </c>
    </row>
    <row r="2" spans="1:7" x14ac:dyDescent="0.45">
      <c r="A2" s="1055" t="str">
        <f>'General Information'!$A$2</f>
        <v>Property and Casualty Rate Filing Exhibits</v>
      </c>
      <c r="F2" s="160" t="s">
        <v>97</v>
      </c>
      <c r="G2" s="1018" t="str">
        <f>'General Information'!$E$2</f>
        <v>Fill out Gen Info</v>
      </c>
    </row>
    <row r="3" spans="1:7" x14ac:dyDescent="0.45">
      <c r="A3" s="1055" t="str">
        <f>'General Information'!$A$3</f>
        <v>Rate Filing Template (2025 Edition)</v>
      </c>
      <c r="F3" s="160" t="s">
        <v>98</v>
      </c>
      <c r="G3" s="1018" t="str">
        <f>'General Information'!$E$3</f>
        <v>Fill out Gen Info</v>
      </c>
    </row>
    <row r="5" spans="1:7" x14ac:dyDescent="0.45">
      <c r="A5" s="1132" t="s">
        <v>381</v>
      </c>
      <c r="B5" s="1133"/>
      <c r="C5" s="1133"/>
      <c r="D5" s="1133"/>
      <c r="E5" s="1133"/>
      <c r="F5" s="1133"/>
      <c r="G5" s="1133"/>
    </row>
    <row r="7" spans="1:7" x14ac:dyDescent="0.45">
      <c r="B7" s="1261" t="s">
        <v>382</v>
      </c>
      <c r="C7" s="1261"/>
    </row>
    <row r="8" spans="1:7" x14ac:dyDescent="0.45">
      <c r="A8" s="553">
        <v>-1</v>
      </c>
      <c r="B8" s="635" t="s">
        <v>153</v>
      </c>
      <c r="C8" s="640">
        <f>'5A-Loss Trend'!P45</f>
        <v>0</v>
      </c>
    </row>
    <row r="9" spans="1:7" x14ac:dyDescent="0.45">
      <c r="A9" s="553">
        <v>-2</v>
      </c>
      <c r="B9" s="638" t="s">
        <v>154</v>
      </c>
      <c r="C9" s="641">
        <f>'5A-Loss Trend'!P46</f>
        <v>0</v>
      </c>
    </row>
    <row r="11" spans="1:7" x14ac:dyDescent="0.45">
      <c r="B11" s="350">
        <f>A9-1</f>
        <v>-3</v>
      </c>
      <c r="C11" s="291">
        <f>B11-1</f>
        <v>-4</v>
      </c>
      <c r="D11" s="291">
        <f>C11-1</f>
        <v>-5</v>
      </c>
      <c r="E11" s="291">
        <f t="shared" ref="E11:G11" si="0">D11-1</f>
        <v>-6</v>
      </c>
      <c r="F11" s="291">
        <f t="shared" si="0"/>
        <v>-7</v>
      </c>
      <c r="G11" s="291">
        <f t="shared" si="0"/>
        <v>-8</v>
      </c>
    </row>
    <row r="12" spans="1:7" ht="76.8" x14ac:dyDescent="0.45">
      <c r="B12" s="1022" t="str">
        <f>'4B-Premium Trend'!A13</f>
        <v xml:space="preserve"> Ending</v>
      </c>
      <c r="C12" s="1022" t="s">
        <v>335</v>
      </c>
      <c r="D12" s="1022" t="s">
        <v>383</v>
      </c>
      <c r="E12" s="1022" t="s">
        <v>336</v>
      </c>
      <c r="F12" s="1022" t="s">
        <v>384</v>
      </c>
      <c r="G12" s="1022" t="s">
        <v>290</v>
      </c>
    </row>
    <row r="13" spans="1:7" x14ac:dyDescent="0.45">
      <c r="B13" s="578" t="str">
        <f>'1-Indication'!A11</f>
        <v>__ /__ /20__</v>
      </c>
      <c r="C13" s="579">
        <f>'3-Trend Period'!C18</f>
        <v>4</v>
      </c>
      <c r="D13" s="487">
        <f>(1+$C$8)^C13</f>
        <v>1</v>
      </c>
      <c r="E13" s="643">
        <f>'3-Trend Period'!D18</f>
        <v>0</v>
      </c>
      <c r="F13" s="487">
        <f>(1+$C$9)^E13</f>
        <v>1</v>
      </c>
      <c r="G13" s="644">
        <f>D13*F13</f>
        <v>1</v>
      </c>
    </row>
    <row r="14" spans="1:7" x14ac:dyDescent="0.45">
      <c r="B14" s="581" t="str">
        <f>'1-Indication'!A12</f>
        <v>__ /__ /20__</v>
      </c>
      <c r="C14" s="582">
        <f>'3-Trend Period'!C19</f>
        <v>3</v>
      </c>
      <c r="D14" s="496">
        <f t="shared" ref="D14:D17" si="1">(1+$C$8)^C14</f>
        <v>1</v>
      </c>
      <c r="E14" s="864">
        <f>'3-Trend Period'!D19</f>
        <v>0</v>
      </c>
      <c r="F14" s="496">
        <f t="shared" ref="F14:F17" si="2">(1+$C$9)^E14</f>
        <v>1</v>
      </c>
      <c r="G14" s="645">
        <f t="shared" ref="G14:G17" si="3">D14*F14</f>
        <v>1</v>
      </c>
    </row>
    <row r="15" spans="1:7" x14ac:dyDescent="0.45">
      <c r="B15" s="584" t="str">
        <f>'1-Indication'!A13</f>
        <v>__ /__ /20__</v>
      </c>
      <c r="C15" s="585">
        <f>'3-Trend Period'!C20</f>
        <v>2</v>
      </c>
      <c r="D15" s="487">
        <f t="shared" si="1"/>
        <v>1</v>
      </c>
      <c r="E15" s="865">
        <f>'3-Trend Period'!D20</f>
        <v>0</v>
      </c>
      <c r="F15" s="487">
        <f t="shared" si="2"/>
        <v>1</v>
      </c>
      <c r="G15" s="646">
        <f t="shared" si="3"/>
        <v>1</v>
      </c>
    </row>
    <row r="16" spans="1:7" x14ac:dyDescent="0.45">
      <c r="B16" s="581" t="str">
        <f>'1-Indication'!A14</f>
        <v>__ /__ /20__</v>
      </c>
      <c r="C16" s="582">
        <f>'3-Trend Period'!C21</f>
        <v>1</v>
      </c>
      <c r="D16" s="496">
        <f t="shared" si="1"/>
        <v>1</v>
      </c>
      <c r="E16" s="864">
        <f>'3-Trend Period'!D21</f>
        <v>0</v>
      </c>
      <c r="F16" s="496">
        <f t="shared" si="2"/>
        <v>1</v>
      </c>
      <c r="G16" s="645">
        <f t="shared" si="3"/>
        <v>1</v>
      </c>
    </row>
    <row r="17" spans="1:7" x14ac:dyDescent="0.45">
      <c r="B17" s="587" t="str">
        <f>'1-Indication'!A15</f>
        <v>__ /__ /20__</v>
      </c>
      <c r="C17" s="588">
        <f>'3-Trend Period'!C22</f>
        <v>0</v>
      </c>
      <c r="D17" s="508">
        <f t="shared" si="1"/>
        <v>1</v>
      </c>
      <c r="E17" s="588">
        <f>'3-Trend Period'!D22</f>
        <v>0</v>
      </c>
      <c r="F17" s="508">
        <f t="shared" si="2"/>
        <v>1</v>
      </c>
      <c r="G17" s="647">
        <f t="shared" si="3"/>
        <v>1</v>
      </c>
    </row>
    <row r="19" spans="1:7" ht="38.85" customHeight="1" x14ac:dyDescent="0.45">
      <c r="A19" s="307">
        <f>G11-1</f>
        <v>-9</v>
      </c>
      <c r="B19" s="1250" t="s">
        <v>385</v>
      </c>
      <c r="C19" s="1250"/>
      <c r="D19" s="1250"/>
      <c r="E19" s="1250"/>
      <c r="F19" s="1250"/>
      <c r="G19" s="1250"/>
    </row>
    <row r="20" spans="1:7" x14ac:dyDescent="0.45">
      <c r="B20" s="1250"/>
      <c r="C20" s="1250"/>
      <c r="D20" s="1250"/>
      <c r="E20" s="1250"/>
      <c r="F20" s="1250"/>
      <c r="G20" s="1250"/>
    </row>
    <row r="21" spans="1:7" x14ac:dyDescent="0.45">
      <c r="B21" s="1250"/>
      <c r="C21" s="1250"/>
      <c r="D21" s="1250"/>
      <c r="E21" s="1250"/>
      <c r="F21" s="1250"/>
      <c r="G21" s="1250"/>
    </row>
    <row r="22" spans="1:7" x14ac:dyDescent="0.45">
      <c r="B22" s="1251"/>
      <c r="C22" s="1251"/>
      <c r="D22" s="1251"/>
      <c r="E22" s="1251"/>
      <c r="F22" s="1251"/>
      <c r="G22" s="1251"/>
    </row>
    <row r="23" spans="1:7" x14ac:dyDescent="0.45">
      <c r="B23" s="1251"/>
      <c r="C23" s="1251"/>
      <c r="D23" s="1251"/>
      <c r="E23" s="1251"/>
      <c r="F23" s="1251"/>
      <c r="G23" s="1251"/>
    </row>
    <row r="24" spans="1:7" x14ac:dyDescent="0.45">
      <c r="B24" s="1251"/>
      <c r="C24" s="1251"/>
      <c r="D24" s="1251"/>
      <c r="E24" s="1251"/>
      <c r="F24" s="1251"/>
      <c r="G24" s="1251"/>
    </row>
    <row r="25" spans="1:7" x14ac:dyDescent="0.45">
      <c r="B25" s="1251"/>
      <c r="C25" s="1251"/>
      <c r="D25" s="1251"/>
      <c r="E25" s="1251"/>
      <c r="F25" s="1251"/>
      <c r="G25" s="1251"/>
    </row>
    <row r="26" spans="1:7" x14ac:dyDescent="0.45">
      <c r="B26" s="1251"/>
      <c r="C26" s="1251"/>
      <c r="D26" s="1251"/>
      <c r="E26" s="1251"/>
      <c r="F26" s="1251"/>
      <c r="G26" s="1251"/>
    </row>
    <row r="27" spans="1:7" x14ac:dyDescent="0.45">
      <c r="B27" s="1251"/>
      <c r="C27" s="1251"/>
      <c r="D27" s="1251"/>
      <c r="E27" s="1251"/>
      <c r="F27" s="1251"/>
      <c r="G27" s="1251"/>
    </row>
    <row r="28" spans="1:7" x14ac:dyDescent="0.45">
      <c r="B28" s="1251"/>
      <c r="C28" s="1251"/>
      <c r="D28" s="1251"/>
      <c r="E28" s="1251"/>
      <c r="F28" s="1251"/>
      <c r="G28" s="1251"/>
    </row>
    <row r="29" spans="1:7" x14ac:dyDescent="0.45">
      <c r="B29" s="1251"/>
      <c r="C29" s="1251"/>
      <c r="D29" s="1251"/>
      <c r="E29" s="1251"/>
      <c r="F29" s="1251"/>
      <c r="G29" s="1251"/>
    </row>
    <row r="32" spans="1:7" x14ac:dyDescent="0.45">
      <c r="A32" s="274" t="s">
        <v>301</v>
      </c>
    </row>
    <row r="33" spans="1:2" x14ac:dyDescent="0.45">
      <c r="A33" s="307">
        <f>A8</f>
        <v>-1</v>
      </c>
      <c r="B33" s="257" t="s">
        <v>386</v>
      </c>
    </row>
    <row r="34" spans="1:2" x14ac:dyDescent="0.45">
      <c r="A34" s="307">
        <f>A33-1</f>
        <v>-2</v>
      </c>
      <c r="B34" s="257" t="s">
        <v>386</v>
      </c>
    </row>
    <row r="35" spans="1:2" x14ac:dyDescent="0.45">
      <c r="A35" s="307">
        <f t="shared" ref="A35:A40" si="4">A34-1</f>
        <v>-3</v>
      </c>
      <c r="B35" s="257" t="s">
        <v>326</v>
      </c>
    </row>
    <row r="36" spans="1:2" x14ac:dyDescent="0.45">
      <c r="A36" s="307">
        <f t="shared" si="4"/>
        <v>-4</v>
      </c>
      <c r="B36" s="257" t="s">
        <v>387</v>
      </c>
    </row>
    <row r="37" spans="1:2" ht="19.8" x14ac:dyDescent="0.45">
      <c r="A37" s="307">
        <f t="shared" si="4"/>
        <v>-5</v>
      </c>
      <c r="B37" s="372" t="s">
        <v>368</v>
      </c>
    </row>
    <row r="38" spans="1:2" x14ac:dyDescent="0.45">
      <c r="A38" s="307">
        <f t="shared" si="4"/>
        <v>-6</v>
      </c>
      <c r="B38" s="257" t="s">
        <v>387</v>
      </c>
    </row>
    <row r="39" spans="1:2" ht="19.8" x14ac:dyDescent="0.45">
      <c r="A39" s="307">
        <f t="shared" si="4"/>
        <v>-7</v>
      </c>
      <c r="B39" s="372" t="s">
        <v>369</v>
      </c>
    </row>
    <row r="40" spans="1:2" x14ac:dyDescent="0.45">
      <c r="A40" s="307">
        <f t="shared" si="4"/>
        <v>-8</v>
      </c>
      <c r="B40" s="372" t="s">
        <v>370</v>
      </c>
    </row>
    <row r="41" spans="1:2" ht="12" customHeight="1" x14ac:dyDescent="0.45">
      <c r="A41" s="307"/>
      <c r="B41" s="372"/>
    </row>
  </sheetData>
  <sheetProtection sheet="1" objects="1" scenarios="1"/>
  <mergeCells count="4">
    <mergeCell ref="B7:C7"/>
    <mergeCell ref="B22:G29"/>
    <mergeCell ref="B19:G21"/>
    <mergeCell ref="A5:G5"/>
  </mergeCells>
  <conditionalFormatting sqref="B22:B28">
    <cfRule type="expression" dxfId="112" priority="2">
      <formula>$B$22=""</formula>
    </cfRule>
  </conditionalFormatting>
  <conditionalFormatting sqref="G2:G3">
    <cfRule type="cellIs" dxfId="111" priority="1" operator="equal">
      <formula>""</formula>
    </cfRule>
  </conditionalFormatting>
  <printOptions horizontalCentered="1"/>
  <pageMargins left="0.5" right="0.5" top="0.5" bottom="0.5" header="0.3" footer="0.3"/>
  <pageSetup fitToWidth="0" fitToHeight="0" orientation="portrait" r:id="rId1"/>
  <rowBreaks count="1" manualBreakCount="1">
    <brk id="30" max="6" man="1"/>
  </rowBreaks>
  <ignoredErrors>
    <ignoredError sqref="C9" unlockedFormula="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dimension ref="A1:J7"/>
  <sheetViews>
    <sheetView showGridLines="0" zoomScaleNormal="100" zoomScaleSheetLayoutView="130" zoomScalePageLayoutView="40" workbookViewId="0"/>
  </sheetViews>
  <sheetFormatPr defaultColWidth="8.88671875" defaultRowHeight="19.2" x14ac:dyDescent="0.45"/>
  <cols>
    <col min="1" max="4" width="8.88671875" style="257"/>
    <col min="5" max="5" width="8.88671875" style="257" customWidth="1"/>
    <col min="6" max="7" width="8.88671875" style="257"/>
    <col min="8" max="8" width="10.33203125" style="257" customWidth="1"/>
    <col min="9" max="9" width="8.88671875" style="257"/>
    <col min="10" max="10" width="12.5546875" style="257" customWidth="1"/>
    <col min="11" max="16384" width="8.88671875" style="257"/>
  </cols>
  <sheetData>
    <row r="1" spans="1:10" x14ac:dyDescent="0.45">
      <c r="A1" s="1055" t="str">
        <f>'General Information'!$A$1</f>
        <v>Texas Department of Insurance</v>
      </c>
    </row>
    <row r="2" spans="1:10" x14ac:dyDescent="0.45">
      <c r="A2" s="1055" t="str">
        <f>'General Information'!$A$2</f>
        <v>Property and Casualty Rate Filing Exhibits</v>
      </c>
      <c r="H2" s="160" t="s">
        <v>97</v>
      </c>
      <c r="I2" s="257" t="str">
        <f>'General Information'!$E$2</f>
        <v>Fill out Gen Info</v>
      </c>
    </row>
    <row r="3" spans="1:10" x14ac:dyDescent="0.45">
      <c r="A3" s="1055" t="str">
        <f>'General Information'!$A$3</f>
        <v>Rate Filing Template (2025 Edition)</v>
      </c>
      <c r="H3" s="160" t="s">
        <v>98</v>
      </c>
      <c r="I3" s="257" t="str">
        <f>'General Information'!$E$3</f>
        <v>Fill out Gen Info</v>
      </c>
    </row>
    <row r="4" spans="1:10" x14ac:dyDescent="0.45">
      <c r="A4" s="1101"/>
    </row>
    <row r="5" spans="1:10" x14ac:dyDescent="0.45">
      <c r="A5" s="1132" t="s">
        <v>388</v>
      </c>
      <c r="B5" s="1133"/>
      <c r="C5" s="1133"/>
      <c r="D5" s="1133"/>
      <c r="E5" s="1133"/>
      <c r="F5" s="1133"/>
      <c r="G5" s="1133"/>
      <c r="H5" s="1133"/>
      <c r="I5" s="1133"/>
      <c r="J5" s="1133"/>
    </row>
    <row r="7" spans="1:10" x14ac:dyDescent="0.45">
      <c r="A7" s="290" t="s">
        <v>389</v>
      </c>
    </row>
  </sheetData>
  <sheetProtection sheet="1" objects="1" scenarios="1"/>
  <mergeCells count="1">
    <mergeCell ref="A5:J5"/>
  </mergeCells>
  <printOptions horizontalCentered="1"/>
  <pageMargins left="0.5" right="0.5" top="0.5" bottom="0.5" header="0.3" footer="0.3"/>
  <pageSetup fitToWidth="0" fitToHeight="0" orientation="portrait" r:id="rId1"/>
  <rowBreaks count="1" manualBreakCount="1">
    <brk id="37" max="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dimension ref="A1:M94"/>
  <sheetViews>
    <sheetView showGridLines="0" topLeftCell="B1" zoomScaleNormal="100" zoomScaleSheetLayoutView="70" workbookViewId="0">
      <selection activeCell="B1" sqref="B1"/>
    </sheetView>
  </sheetViews>
  <sheetFormatPr defaultColWidth="8.88671875" defaultRowHeight="19.2" x14ac:dyDescent="0.45"/>
  <cols>
    <col min="1" max="1" width="8.88671875" style="273" hidden="1" customWidth="1"/>
    <col min="2" max="2" width="5.109375" style="741" customWidth="1"/>
    <col min="3" max="3" width="17.109375" style="273" customWidth="1"/>
    <col min="4" max="4" width="17.88671875" style="273" customWidth="1"/>
    <col min="5" max="5" width="17.88671875" style="273" bestFit="1" customWidth="1"/>
    <col min="6" max="12" width="8.88671875" style="273"/>
    <col min="13" max="13" width="14" style="273" customWidth="1"/>
    <col min="14" max="16384" width="8.88671875" style="273"/>
  </cols>
  <sheetData>
    <row r="1" spans="1:13" x14ac:dyDescent="0.45">
      <c r="B1" s="1055" t="str">
        <f>'General Information'!$A$1</f>
        <v>Texas Department of Insurance</v>
      </c>
    </row>
    <row r="2" spans="1:13" x14ac:dyDescent="0.45">
      <c r="B2" s="1055" t="str">
        <f>'General Information'!$A$2</f>
        <v>Property and Casualty Rate Filing Exhibits</v>
      </c>
      <c r="G2" s="160" t="s">
        <v>97</v>
      </c>
      <c r="H2" s="1018" t="str">
        <f>'General Information'!$E$2</f>
        <v>Fill out Gen Info</v>
      </c>
    </row>
    <row r="3" spans="1:13" x14ac:dyDescent="0.45">
      <c r="B3" s="1055" t="str">
        <f>'General Information'!$A$3</f>
        <v>Rate Filing Template (2025 Edition)</v>
      </c>
      <c r="G3" s="160" t="s">
        <v>98</v>
      </c>
      <c r="H3" s="1018" t="str">
        <f>'General Information'!$E$3</f>
        <v>Fill out Gen Info</v>
      </c>
    </row>
    <row r="5" spans="1:13" x14ac:dyDescent="0.45">
      <c r="B5" s="1132" t="s">
        <v>390</v>
      </c>
      <c r="C5" s="1133"/>
      <c r="D5" s="1133"/>
      <c r="E5" s="1133"/>
      <c r="F5" s="1133"/>
      <c r="G5" s="1133"/>
      <c r="H5" s="1133"/>
      <c r="I5" s="1133"/>
      <c r="J5" s="1037"/>
      <c r="K5" s="1037"/>
      <c r="L5" s="1037"/>
    </row>
    <row r="6" spans="1:13" x14ac:dyDescent="0.45">
      <c r="L6" s="160"/>
      <c r="M6" s="289"/>
    </row>
    <row r="7" spans="1:13" x14ac:dyDescent="0.45">
      <c r="C7" s="550">
        <v>-1</v>
      </c>
      <c r="D7" s="550">
        <f>C7-1</f>
        <v>-2</v>
      </c>
      <c r="E7" s="550">
        <f>D7-1</f>
        <v>-3</v>
      </c>
    </row>
    <row r="8" spans="1:13" ht="76.8" x14ac:dyDescent="0.45">
      <c r="A8" s="273" t="s">
        <v>346</v>
      </c>
      <c r="C8" s="1022" t="str">
        <f>'1-Indication'!A10</f>
        <v xml:space="preserve"> Ending</v>
      </c>
      <c r="D8" s="1022" t="str">
        <f>IF('General Information'!B18='Drop Down Lists and Formatting'!A40,"Untrended
Non-Cat Loss
Ratio","Untrended
Non-Cat
Loss &amp; DCCE Ratio")</f>
        <v>Untrended
Non-Cat
Loss &amp; DCCE Ratio</v>
      </c>
      <c r="E8" s="1022" t="str">
        <f>IF('General Information'!B18='Drop Down Lists and Formatting'!A40,"Projected
Non-Cat Loss
Ratio","Projected
Non-Cat
Loss &amp; DCCE Ratio")</f>
        <v>Projected
Non-Cat
Loss &amp; DCCE Ratio</v>
      </c>
    </row>
    <row r="9" spans="1:13" x14ac:dyDescent="0.45">
      <c r="A9" s="273">
        <v>1</v>
      </c>
      <c r="C9" s="597" t="str">
        <f>'1-Indication'!A11</f>
        <v>__ /__ /20__</v>
      </c>
      <c r="D9" s="725">
        <f>IFERROR(('1-Indication'!F11*'1-Indication'!G11)/('1-Indication'!B11*'1-Indication'!C11),0)</f>
        <v>0</v>
      </c>
      <c r="E9" s="725">
        <f>'1-Indication'!K11</f>
        <v>0</v>
      </c>
    </row>
    <row r="10" spans="1:13" x14ac:dyDescent="0.45">
      <c r="A10" s="273">
        <v>2</v>
      </c>
      <c r="C10" s="606" t="str">
        <f>'1-Indication'!A12</f>
        <v>__ /__ /20__</v>
      </c>
      <c r="D10" s="726">
        <f>IFERROR(('1-Indication'!F12*'1-Indication'!G12)/('1-Indication'!B12*'1-Indication'!C12),0)</f>
        <v>0</v>
      </c>
      <c r="E10" s="709">
        <f>'1-Indication'!K12</f>
        <v>0</v>
      </c>
    </row>
    <row r="11" spans="1:13" x14ac:dyDescent="0.45">
      <c r="A11" s="273">
        <v>3</v>
      </c>
      <c r="C11" s="611" t="str">
        <f>'1-Indication'!A13</f>
        <v>__ /__ /20__</v>
      </c>
      <c r="D11" s="725">
        <f>IFERROR(('1-Indication'!F13*'1-Indication'!G13)/('1-Indication'!B13*'1-Indication'!C13),0)</f>
        <v>0</v>
      </c>
      <c r="E11" s="712">
        <f>'1-Indication'!K13</f>
        <v>0</v>
      </c>
    </row>
    <row r="12" spans="1:13" x14ac:dyDescent="0.45">
      <c r="A12" s="273">
        <v>4</v>
      </c>
      <c r="C12" s="606" t="str">
        <f>'1-Indication'!A14</f>
        <v>__ /__ /20__</v>
      </c>
      <c r="D12" s="726">
        <f>IFERROR(('1-Indication'!F14*'1-Indication'!G14)/('1-Indication'!B14*'1-Indication'!C14),0)</f>
        <v>0</v>
      </c>
      <c r="E12" s="709">
        <f>'1-Indication'!K14</f>
        <v>0</v>
      </c>
    </row>
    <row r="13" spans="1:13" x14ac:dyDescent="0.45">
      <c r="A13" s="273">
        <v>5</v>
      </c>
      <c r="C13" s="727" t="str">
        <f>'1-Indication'!A15</f>
        <v>__ /__ /20__</v>
      </c>
      <c r="D13" s="728">
        <f>IFERROR(('1-Indication'!F15*'1-Indication'!G15)/('1-Indication'!B15*'1-Indication'!C15),0)</f>
        <v>0</v>
      </c>
      <c r="E13" s="729">
        <f>'1-Indication'!K15</f>
        <v>0</v>
      </c>
    </row>
    <row r="15" spans="1:13" x14ac:dyDescent="0.45">
      <c r="C15" s="1173" t="s">
        <v>352</v>
      </c>
      <c r="D15" s="1174"/>
      <c r="E15" s="286"/>
    </row>
    <row r="16" spans="1:13" x14ac:dyDescent="0.45">
      <c r="C16" s="635" t="s">
        <v>391</v>
      </c>
      <c r="D16" s="725">
        <f>IFERROR(LOGEST(D9:D13,A9:A13)-1,0)</f>
        <v>0</v>
      </c>
      <c r="E16" s="286"/>
    </row>
    <row r="17" spans="2:5" x14ac:dyDescent="0.45">
      <c r="C17" s="730" t="s">
        <v>392</v>
      </c>
      <c r="D17" s="709">
        <f>IFERROR(LOGEST(D10:D13,A10:A13)-1,0)</f>
        <v>0</v>
      </c>
      <c r="E17" s="286"/>
    </row>
    <row r="18" spans="2:5" x14ac:dyDescent="0.45">
      <c r="C18" s="731" t="s">
        <v>393</v>
      </c>
      <c r="D18" s="712">
        <f>IFERROR(LOGEST(D11:D13,A11:A13)-1,0)</f>
        <v>0</v>
      </c>
    </row>
    <row r="19" spans="2:5" x14ac:dyDescent="0.45">
      <c r="C19" s="732" t="s">
        <v>394</v>
      </c>
      <c r="D19" s="714">
        <f>IFERROR(LOGEST(D12:D13,A12:A13)-1,0)</f>
        <v>0</v>
      </c>
    </row>
    <row r="21" spans="2:5" x14ac:dyDescent="0.45">
      <c r="C21" s="1173" t="s">
        <v>395</v>
      </c>
      <c r="D21" s="1174"/>
    </row>
    <row r="22" spans="2:5" x14ac:dyDescent="0.45">
      <c r="B22" s="478">
        <f>E7-1</f>
        <v>-4</v>
      </c>
      <c r="C22" s="635" t="s">
        <v>153</v>
      </c>
      <c r="D22" s="733">
        <f>(1+'5B-Loss Trend'!C8)/(1+'4B-Premium Trend'!C8)-1</f>
        <v>0</v>
      </c>
    </row>
    <row r="23" spans="2:5" x14ac:dyDescent="0.45">
      <c r="B23" s="478">
        <f>B22-1</f>
        <v>-5</v>
      </c>
      <c r="C23" s="638" t="s">
        <v>154</v>
      </c>
      <c r="D23" s="734">
        <f>(1+'5B-Loss Trend'!C9)/(1+'4B-Premium Trend'!C9)-1</f>
        <v>0</v>
      </c>
    </row>
    <row r="51" spans="2:3" x14ac:dyDescent="0.45">
      <c r="B51" s="744" t="s">
        <v>301</v>
      </c>
    </row>
    <row r="52" spans="2:3" x14ac:dyDescent="0.45">
      <c r="B52" s="478">
        <v>-1</v>
      </c>
      <c r="C52" s="257" t="s">
        <v>326</v>
      </c>
    </row>
    <row r="53" spans="2:3" x14ac:dyDescent="0.45">
      <c r="B53" s="478">
        <f>B52-1</f>
        <v>-2</v>
      </c>
      <c r="C53" s="257" t="s">
        <v>396</v>
      </c>
    </row>
    <row r="54" spans="2:3" x14ac:dyDescent="0.45">
      <c r="B54" s="478">
        <f>B53-1</f>
        <v>-3</v>
      </c>
      <c r="C54" s="257" t="s">
        <v>326</v>
      </c>
    </row>
    <row r="55" spans="2:3" x14ac:dyDescent="0.45">
      <c r="B55" s="478">
        <f>B54-1</f>
        <v>-4</v>
      </c>
      <c r="C55" s="372" t="s">
        <v>397</v>
      </c>
    </row>
    <row r="56" spans="2:3" x14ac:dyDescent="0.45">
      <c r="B56" s="478">
        <f>B55-1</f>
        <v>-5</v>
      </c>
      <c r="C56" s="372" t="s">
        <v>398</v>
      </c>
    </row>
    <row r="57" spans="2:3" x14ac:dyDescent="0.45">
      <c r="B57" s="273"/>
    </row>
    <row r="58" spans="2:3" x14ac:dyDescent="0.45">
      <c r="B58" s="478"/>
      <c r="C58" s="372"/>
    </row>
    <row r="67" spans="2:6" s="735" customFormat="1" ht="57.6" hidden="1" x14ac:dyDescent="0.45">
      <c r="B67" s="742"/>
      <c r="C67" s="735" t="s">
        <v>399</v>
      </c>
      <c r="D67" s="735" t="s">
        <v>376</v>
      </c>
      <c r="E67" s="736" t="s">
        <v>400</v>
      </c>
    </row>
    <row r="68" spans="2:6" s="735" customFormat="1" hidden="1" x14ac:dyDescent="0.45">
      <c r="B68" s="743">
        <f>'5A-Loss Trend'!B13</f>
        <v>-1826.25</v>
      </c>
      <c r="C68" s="738">
        <f>'4A-Premium Trend'!H13</f>
        <v>0</v>
      </c>
      <c r="D68" s="735">
        <f>'5A-Loss Trend'!P13</f>
        <v>0</v>
      </c>
      <c r="E68" s="739" t="e">
        <f t="shared" ref="E68:E88" si="0">D68/C68</f>
        <v>#DIV/0!</v>
      </c>
    </row>
    <row r="69" spans="2:6" s="735" customFormat="1" hidden="1" x14ac:dyDescent="0.45">
      <c r="B69" s="743">
        <f>'5A-Loss Trend'!B14</f>
        <v>-1734.9375</v>
      </c>
      <c r="C69" s="738">
        <f>'4A-Premium Trend'!H14</f>
        <v>0</v>
      </c>
      <c r="D69" s="735">
        <f>'5A-Loss Trend'!P14</f>
        <v>0</v>
      </c>
      <c r="E69" s="739" t="e">
        <f t="shared" si="0"/>
        <v>#DIV/0!</v>
      </c>
    </row>
    <row r="70" spans="2:6" s="735" customFormat="1" hidden="1" x14ac:dyDescent="0.45">
      <c r="B70" s="743">
        <f>'5A-Loss Trend'!B15</f>
        <v>-1643.625</v>
      </c>
      <c r="C70" s="738">
        <f>'4A-Premium Trend'!H15</f>
        <v>0</v>
      </c>
      <c r="D70" s="735">
        <f>'5A-Loss Trend'!P15</f>
        <v>0</v>
      </c>
      <c r="E70" s="739" t="e">
        <f t="shared" si="0"/>
        <v>#DIV/0!</v>
      </c>
    </row>
    <row r="71" spans="2:6" s="735" customFormat="1" hidden="1" x14ac:dyDescent="0.45">
      <c r="B71" s="743">
        <f>'5A-Loss Trend'!B16</f>
        <v>-1552.3125</v>
      </c>
      <c r="C71" s="738">
        <f>'4A-Premium Trend'!H16</f>
        <v>0</v>
      </c>
      <c r="D71" s="735">
        <f>'5A-Loss Trend'!P16</f>
        <v>0</v>
      </c>
      <c r="E71" s="739" t="e">
        <f t="shared" si="0"/>
        <v>#DIV/0!</v>
      </c>
      <c r="F71" s="738"/>
    </row>
    <row r="72" spans="2:6" s="735" customFormat="1" hidden="1" x14ac:dyDescent="0.45">
      <c r="B72" s="743">
        <f>'5A-Loss Trend'!B17</f>
        <v>-1461</v>
      </c>
      <c r="C72" s="738">
        <f>'4A-Premium Trend'!H17</f>
        <v>0</v>
      </c>
      <c r="D72" s="735">
        <f>'5A-Loss Trend'!P17</f>
        <v>0</v>
      </c>
      <c r="E72" s="739" t="e">
        <f t="shared" si="0"/>
        <v>#DIV/0!</v>
      </c>
      <c r="F72" s="738"/>
    </row>
    <row r="73" spans="2:6" s="735" customFormat="1" hidden="1" x14ac:dyDescent="0.45">
      <c r="B73" s="743">
        <f>'5A-Loss Trend'!B18</f>
        <v>-1369.6875</v>
      </c>
      <c r="C73" s="738">
        <f>'4A-Premium Trend'!H18</f>
        <v>0</v>
      </c>
      <c r="D73" s="735">
        <f>'5A-Loss Trend'!P18</f>
        <v>0</v>
      </c>
      <c r="E73" s="739" t="e">
        <f t="shared" si="0"/>
        <v>#DIV/0!</v>
      </c>
      <c r="F73" s="738"/>
    </row>
    <row r="74" spans="2:6" s="735" customFormat="1" hidden="1" x14ac:dyDescent="0.45">
      <c r="B74" s="743">
        <f>'5A-Loss Trend'!B19</f>
        <v>-1278.375</v>
      </c>
      <c r="C74" s="738">
        <f>'4A-Premium Trend'!H19</f>
        <v>0</v>
      </c>
      <c r="D74" s="735">
        <f>'5A-Loss Trend'!P19</f>
        <v>0</v>
      </c>
      <c r="E74" s="739" t="e">
        <f t="shared" si="0"/>
        <v>#DIV/0!</v>
      </c>
      <c r="F74" s="738"/>
    </row>
    <row r="75" spans="2:6" s="735" customFormat="1" hidden="1" x14ac:dyDescent="0.45">
      <c r="B75" s="743">
        <f>'5A-Loss Trend'!B20</f>
        <v>-1187.0625</v>
      </c>
      <c r="C75" s="738">
        <f>'4A-Premium Trend'!H20</f>
        <v>0</v>
      </c>
      <c r="D75" s="735">
        <f>'5A-Loss Trend'!P20</f>
        <v>0</v>
      </c>
      <c r="E75" s="739" t="e">
        <f t="shared" si="0"/>
        <v>#DIV/0!</v>
      </c>
      <c r="F75" s="738"/>
    </row>
    <row r="76" spans="2:6" s="735" customFormat="1" hidden="1" x14ac:dyDescent="0.45">
      <c r="B76" s="743">
        <f>'5A-Loss Trend'!B21</f>
        <v>-1095.75</v>
      </c>
      <c r="C76" s="738">
        <f>'4A-Premium Trend'!H21</f>
        <v>0</v>
      </c>
      <c r="D76" s="735">
        <f>'5A-Loss Trend'!P21</f>
        <v>0</v>
      </c>
      <c r="E76" s="739" t="e">
        <f t="shared" si="0"/>
        <v>#DIV/0!</v>
      </c>
      <c r="F76" s="738"/>
    </row>
    <row r="77" spans="2:6" s="735" customFormat="1" hidden="1" x14ac:dyDescent="0.45">
      <c r="B77" s="743">
        <f>'5A-Loss Trend'!B22</f>
        <v>-1004.4375</v>
      </c>
      <c r="C77" s="738">
        <f>'4A-Premium Trend'!H22</f>
        <v>0</v>
      </c>
      <c r="D77" s="735">
        <f>'5A-Loss Trend'!P22</f>
        <v>0</v>
      </c>
      <c r="E77" s="739" t="e">
        <f t="shared" si="0"/>
        <v>#DIV/0!</v>
      </c>
      <c r="F77" s="738"/>
    </row>
    <row r="78" spans="2:6" s="735" customFormat="1" hidden="1" x14ac:dyDescent="0.45">
      <c r="B78" s="743">
        <f>'5A-Loss Trend'!B23</f>
        <v>-913.125</v>
      </c>
      <c r="C78" s="738">
        <f>'4A-Premium Trend'!H23</f>
        <v>0</v>
      </c>
      <c r="D78" s="735">
        <f>'5A-Loss Trend'!P23</f>
        <v>0</v>
      </c>
      <c r="E78" s="739" t="e">
        <f t="shared" si="0"/>
        <v>#DIV/0!</v>
      </c>
      <c r="F78" s="738"/>
    </row>
    <row r="79" spans="2:6" s="735" customFormat="1" hidden="1" x14ac:dyDescent="0.45">
      <c r="B79" s="743">
        <f>'5A-Loss Trend'!B24</f>
        <v>-821.8125</v>
      </c>
      <c r="C79" s="738">
        <f>'4A-Premium Trend'!H24</f>
        <v>0</v>
      </c>
      <c r="D79" s="735">
        <f>'5A-Loss Trend'!P24</f>
        <v>0</v>
      </c>
      <c r="E79" s="739" t="e">
        <f t="shared" si="0"/>
        <v>#DIV/0!</v>
      </c>
      <c r="F79" s="738"/>
    </row>
    <row r="80" spans="2:6" s="735" customFormat="1" hidden="1" x14ac:dyDescent="0.45">
      <c r="B80" s="743">
        <f>'5A-Loss Trend'!B25</f>
        <v>-730.5</v>
      </c>
      <c r="C80" s="738">
        <f>'4A-Premium Trend'!H25</f>
        <v>0</v>
      </c>
      <c r="D80" s="735">
        <f>'5A-Loss Trend'!P25</f>
        <v>0</v>
      </c>
      <c r="E80" s="739" t="e">
        <f t="shared" si="0"/>
        <v>#DIV/0!</v>
      </c>
      <c r="F80" s="738"/>
    </row>
    <row r="81" spans="2:6" s="735" customFormat="1" hidden="1" x14ac:dyDescent="0.45">
      <c r="B81" s="743">
        <f>'5A-Loss Trend'!B26</f>
        <v>-639.1875</v>
      </c>
      <c r="C81" s="738">
        <f>'4A-Premium Trend'!H26</f>
        <v>0</v>
      </c>
      <c r="D81" s="735">
        <f>'5A-Loss Trend'!P26</f>
        <v>0</v>
      </c>
      <c r="E81" s="739" t="e">
        <f t="shared" si="0"/>
        <v>#DIV/0!</v>
      </c>
      <c r="F81" s="738"/>
    </row>
    <row r="82" spans="2:6" s="735" customFormat="1" hidden="1" x14ac:dyDescent="0.45">
      <c r="B82" s="743">
        <f>'5A-Loss Trend'!B27</f>
        <v>-547.875</v>
      </c>
      <c r="C82" s="738">
        <f>'4A-Premium Trend'!H27</f>
        <v>0</v>
      </c>
      <c r="D82" s="735">
        <f>'5A-Loss Trend'!P27</f>
        <v>0</v>
      </c>
      <c r="E82" s="739" t="e">
        <f t="shared" si="0"/>
        <v>#DIV/0!</v>
      </c>
      <c r="F82" s="738"/>
    </row>
    <row r="83" spans="2:6" s="735" customFormat="1" hidden="1" x14ac:dyDescent="0.45">
      <c r="B83" s="743">
        <f>'5A-Loss Trend'!B28</f>
        <v>-456.5625</v>
      </c>
      <c r="C83" s="738">
        <f>'4A-Premium Trend'!H28</f>
        <v>0</v>
      </c>
      <c r="D83" s="735">
        <f>'5A-Loss Trend'!P28</f>
        <v>0</v>
      </c>
      <c r="E83" s="739" t="e">
        <f t="shared" si="0"/>
        <v>#DIV/0!</v>
      </c>
      <c r="F83" s="738"/>
    </row>
    <row r="84" spans="2:6" s="735" customFormat="1" hidden="1" x14ac:dyDescent="0.45">
      <c r="B84" s="743">
        <f>'5A-Loss Trend'!B29</f>
        <v>-365.25</v>
      </c>
      <c r="C84" s="738">
        <f>'4A-Premium Trend'!H29</f>
        <v>0</v>
      </c>
      <c r="D84" s="735">
        <f>'5A-Loss Trend'!P29</f>
        <v>0</v>
      </c>
      <c r="E84" s="739" t="e">
        <f t="shared" si="0"/>
        <v>#DIV/0!</v>
      </c>
      <c r="F84" s="738"/>
    </row>
    <row r="85" spans="2:6" s="735" customFormat="1" hidden="1" x14ac:dyDescent="0.45">
      <c r="B85" s="743">
        <f>'5A-Loss Trend'!B30</f>
        <v>-273.9375</v>
      </c>
      <c r="C85" s="738">
        <f>'4A-Premium Trend'!H30</f>
        <v>0</v>
      </c>
      <c r="D85" s="735">
        <f>'5A-Loss Trend'!P30</f>
        <v>0</v>
      </c>
      <c r="E85" s="739" t="e">
        <f t="shared" si="0"/>
        <v>#DIV/0!</v>
      </c>
      <c r="F85" s="738"/>
    </row>
    <row r="86" spans="2:6" s="735" customFormat="1" hidden="1" x14ac:dyDescent="0.45">
      <c r="B86" s="743">
        <f>'5A-Loss Trend'!B31</f>
        <v>-182.625</v>
      </c>
      <c r="C86" s="738">
        <f>'4A-Premium Trend'!H31</f>
        <v>0</v>
      </c>
      <c r="D86" s="735">
        <f>'5A-Loss Trend'!P31</f>
        <v>0</v>
      </c>
      <c r="E86" s="739" t="e">
        <f t="shared" si="0"/>
        <v>#DIV/0!</v>
      </c>
      <c r="F86" s="738"/>
    </row>
    <row r="87" spans="2:6" s="735" customFormat="1" hidden="1" x14ac:dyDescent="0.45">
      <c r="B87" s="743">
        <f>'5A-Loss Trend'!B32</f>
        <v>-91.3125</v>
      </c>
      <c r="C87" s="738">
        <f>'4A-Premium Trend'!H32</f>
        <v>0</v>
      </c>
      <c r="D87" s="735">
        <f>'5A-Loss Trend'!P32</f>
        <v>0</v>
      </c>
      <c r="E87" s="739" t="e">
        <f t="shared" si="0"/>
        <v>#DIV/0!</v>
      </c>
      <c r="F87" s="738"/>
    </row>
    <row r="88" spans="2:6" s="735" customFormat="1" hidden="1" x14ac:dyDescent="0.45">
      <c r="B88" s="743">
        <f>'5A-Loss Trend'!B33</f>
        <v>0</v>
      </c>
      <c r="C88" s="738">
        <f>'4A-Premium Trend'!H33</f>
        <v>0</v>
      </c>
      <c r="D88" s="735">
        <f>'5A-Loss Trend'!P33</f>
        <v>0</v>
      </c>
      <c r="E88" s="739" t="e">
        <f t="shared" si="0"/>
        <v>#DIV/0!</v>
      </c>
      <c r="F88" s="738"/>
    </row>
    <row r="89" spans="2:6" s="735" customFormat="1" hidden="1" x14ac:dyDescent="0.45">
      <c r="B89" s="742"/>
      <c r="F89" s="738"/>
    </row>
    <row r="90" spans="2:6" s="735" customFormat="1" hidden="1" x14ac:dyDescent="0.45">
      <c r="B90" s="742"/>
      <c r="C90" s="737" t="e">
        <f>'5B-Loss Trend'!B17+'5B-Loss Trend'!E17*365.25</f>
        <v>#VALUE!</v>
      </c>
      <c r="F90" s="738"/>
    </row>
    <row r="91" spans="2:6" hidden="1" x14ac:dyDescent="0.45">
      <c r="F91" s="740"/>
    </row>
    <row r="92" spans="2:6" x14ac:dyDescent="0.45">
      <c r="F92" s="740"/>
    </row>
    <row r="93" spans="2:6" x14ac:dyDescent="0.45">
      <c r="F93" s="740"/>
    </row>
    <row r="94" spans="2:6" x14ac:dyDescent="0.45">
      <c r="F94" s="740"/>
    </row>
  </sheetData>
  <sheetProtection sheet="1" objects="1" scenarios="1"/>
  <mergeCells count="3">
    <mergeCell ref="C15:D15"/>
    <mergeCell ref="C21:D21"/>
    <mergeCell ref="B5:I5"/>
  </mergeCells>
  <conditionalFormatting sqref="H2:H3">
    <cfRule type="cellIs" dxfId="110" priority="1" operator="equal">
      <formula>""</formula>
    </cfRule>
  </conditionalFormatting>
  <printOptions horizontalCentered="1"/>
  <pageMargins left="0.5" right="0.5" top="0.5" bottom="0.5" header="0.3" footer="0.3"/>
  <pageSetup fitToWidth="0" fitToHeight="0" orientation="portrait" r:id="rId1"/>
  <ignoredErrors>
    <ignoredError sqref="D17:D19"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60"/>
  <sheetViews>
    <sheetView showGridLines="0" zoomScaleNormal="100" zoomScaleSheetLayoutView="100" zoomScalePageLayoutView="55" workbookViewId="0"/>
  </sheetViews>
  <sheetFormatPr defaultColWidth="8.88671875" defaultRowHeight="19.2" x14ac:dyDescent="0.45"/>
  <cols>
    <col min="1" max="1" width="98" style="231" customWidth="1"/>
    <col min="2" max="16384" width="8.88671875" style="231"/>
  </cols>
  <sheetData>
    <row r="1" spans="1:1" x14ac:dyDescent="0.45">
      <c r="A1" s="230" t="str">
        <f>'General Information'!A1</f>
        <v>Texas Department of Insurance</v>
      </c>
    </row>
    <row r="2" spans="1:1" x14ac:dyDescent="0.45">
      <c r="A2" s="230" t="str">
        <f>'General Information'!A2</f>
        <v>Property and Casualty Rate Filing Exhibits</v>
      </c>
    </row>
    <row r="3" spans="1:1" x14ac:dyDescent="0.45">
      <c r="A3" s="227" t="s">
        <v>970</v>
      </c>
    </row>
    <row r="5" spans="1:1" s="233" customFormat="1" x14ac:dyDescent="0.45">
      <c r="A5" s="232" t="s">
        <v>46</v>
      </c>
    </row>
    <row r="6" spans="1:1" ht="57.6" x14ac:dyDescent="0.45">
      <c r="A6" s="234" t="s">
        <v>47</v>
      </c>
    </row>
    <row r="7" spans="1:1" ht="76.8" x14ac:dyDescent="0.45">
      <c r="A7" s="235" t="s">
        <v>48</v>
      </c>
    </row>
    <row r="8" spans="1:1" ht="38.4" x14ac:dyDescent="0.45">
      <c r="A8" s="236" t="s">
        <v>49</v>
      </c>
    </row>
    <row r="9" spans="1:1" ht="57.6" x14ac:dyDescent="0.45">
      <c r="A9" s="237" t="s">
        <v>50</v>
      </c>
    </row>
    <row r="10" spans="1:1" x14ac:dyDescent="0.45">
      <c r="A10" s="231" t="s">
        <v>51</v>
      </c>
    </row>
    <row r="11" spans="1:1" ht="38.4" x14ac:dyDescent="0.45">
      <c r="A11" s="237" t="s">
        <v>52</v>
      </c>
    </row>
    <row r="12" spans="1:1" ht="76.8" x14ac:dyDescent="0.45">
      <c r="A12" s="237" t="s">
        <v>53</v>
      </c>
    </row>
    <row r="13" spans="1:1" ht="38.4" x14ac:dyDescent="0.45">
      <c r="A13" s="237" t="s">
        <v>54</v>
      </c>
    </row>
    <row r="14" spans="1:1" x14ac:dyDescent="0.45">
      <c r="A14" s="237"/>
    </row>
    <row r="16" spans="1:1" s="233" customFormat="1" x14ac:dyDescent="0.45">
      <c r="A16" s="232" t="s">
        <v>55</v>
      </c>
    </row>
    <row r="17" spans="1:1" s="238" customFormat="1" ht="57.6" x14ac:dyDescent="0.3">
      <c r="A17" s="234" t="s">
        <v>56</v>
      </c>
    </row>
    <row r="18" spans="1:1" x14ac:dyDescent="0.45">
      <c r="A18" s="239"/>
    </row>
    <row r="19" spans="1:1" s="241" customFormat="1" ht="38.4" x14ac:dyDescent="0.45">
      <c r="A19" s="240" t="s">
        <v>57</v>
      </c>
    </row>
    <row r="20" spans="1:1" ht="57.6" x14ac:dyDescent="0.45">
      <c r="A20" s="242" t="s">
        <v>58</v>
      </c>
    </row>
    <row r="21" spans="1:1" x14ac:dyDescent="0.45">
      <c r="A21" s="242" t="s">
        <v>59</v>
      </c>
    </row>
    <row r="22" spans="1:1" ht="57.6" x14ac:dyDescent="0.45">
      <c r="A22" s="242" t="s">
        <v>60</v>
      </c>
    </row>
    <row r="23" spans="1:1" s="241" customFormat="1" ht="38.4" x14ac:dyDescent="0.45">
      <c r="A23" s="243" t="s">
        <v>61</v>
      </c>
    </row>
    <row r="24" spans="1:1" s="241" customFormat="1" ht="38.4" x14ac:dyDescent="0.45">
      <c r="A24" s="244" t="s">
        <v>62</v>
      </c>
    </row>
    <row r="25" spans="1:1" x14ac:dyDescent="0.45">
      <c r="A25" s="245" t="s">
        <v>63</v>
      </c>
    </row>
    <row r="26" spans="1:1" x14ac:dyDescent="0.45">
      <c r="A26" s="244" t="s">
        <v>64</v>
      </c>
    </row>
    <row r="27" spans="1:1" s="241" customFormat="1" ht="134.4" x14ac:dyDescent="0.45">
      <c r="A27" s="244" t="s">
        <v>65</v>
      </c>
    </row>
    <row r="28" spans="1:1" s="241" customFormat="1" x14ac:dyDescent="0.45">
      <c r="A28" s="244"/>
    </row>
    <row r="29" spans="1:1" x14ac:dyDescent="0.45">
      <c r="A29" s="237" t="s">
        <v>66</v>
      </c>
    </row>
    <row r="30" spans="1:1" s="233" customFormat="1" x14ac:dyDescent="0.45">
      <c r="A30" s="232" t="s">
        <v>67</v>
      </c>
    </row>
    <row r="31" spans="1:1" x14ac:dyDescent="0.45">
      <c r="A31" s="246"/>
    </row>
    <row r="32" spans="1:1" x14ac:dyDescent="0.45">
      <c r="A32" s="247" t="s">
        <v>68</v>
      </c>
    </row>
    <row r="33" spans="1:1" x14ac:dyDescent="0.45">
      <c r="A33" s="247" t="s">
        <v>69</v>
      </c>
    </row>
    <row r="34" spans="1:1" x14ac:dyDescent="0.45">
      <c r="A34" s="248" t="s">
        <v>70</v>
      </c>
    </row>
    <row r="35" spans="1:1" x14ac:dyDescent="0.45">
      <c r="A35" s="248" t="s">
        <v>71</v>
      </c>
    </row>
    <row r="36" spans="1:1" x14ac:dyDescent="0.45">
      <c r="A36" s="248" t="s">
        <v>72</v>
      </c>
    </row>
    <row r="37" spans="1:1" x14ac:dyDescent="0.45">
      <c r="A37" s="248" t="s">
        <v>73</v>
      </c>
    </row>
    <row r="38" spans="1:1" x14ac:dyDescent="0.45">
      <c r="A38" s="247" t="s">
        <v>74</v>
      </c>
    </row>
    <row r="39" spans="1:1" x14ac:dyDescent="0.45">
      <c r="A39" s="247" t="s">
        <v>75</v>
      </c>
    </row>
    <row r="40" spans="1:1" x14ac:dyDescent="0.45">
      <c r="A40" s="247" t="s">
        <v>76</v>
      </c>
    </row>
    <row r="41" spans="1:1" x14ac:dyDescent="0.45">
      <c r="A41" s="247" t="s">
        <v>77</v>
      </c>
    </row>
    <row r="42" spans="1:1" x14ac:dyDescent="0.45">
      <c r="A42" s="247" t="s">
        <v>78</v>
      </c>
    </row>
    <row r="43" spans="1:1" x14ac:dyDescent="0.45">
      <c r="A43" s="247" t="s">
        <v>79</v>
      </c>
    </row>
    <row r="44" spans="1:1" x14ac:dyDescent="0.45">
      <c r="A44" s="247" t="s">
        <v>80</v>
      </c>
    </row>
    <row r="45" spans="1:1" x14ac:dyDescent="0.45">
      <c r="A45" s="247" t="s">
        <v>81</v>
      </c>
    </row>
    <row r="46" spans="1:1" x14ac:dyDescent="0.45">
      <c r="A46" s="247" t="s">
        <v>82</v>
      </c>
    </row>
    <row r="47" spans="1:1" x14ac:dyDescent="0.45">
      <c r="A47" s="247" t="s">
        <v>83</v>
      </c>
    </row>
    <row r="48" spans="1:1" x14ac:dyDescent="0.45">
      <c r="A48" s="247" t="s">
        <v>84</v>
      </c>
    </row>
    <row r="49" spans="1:1" x14ac:dyDescent="0.45">
      <c r="A49" s="248" t="s">
        <v>85</v>
      </c>
    </row>
    <row r="50" spans="1:1" x14ac:dyDescent="0.45">
      <c r="A50" s="248" t="s">
        <v>86</v>
      </c>
    </row>
    <row r="51" spans="1:1" x14ac:dyDescent="0.45">
      <c r="A51" s="247" t="s">
        <v>87</v>
      </c>
    </row>
    <row r="52" spans="1:1" x14ac:dyDescent="0.45">
      <c r="A52" s="247" t="s">
        <v>88</v>
      </c>
    </row>
    <row r="53" spans="1:1" x14ac:dyDescent="0.45">
      <c r="A53" s="247" t="s">
        <v>89</v>
      </c>
    </row>
    <row r="54" spans="1:1" x14ac:dyDescent="0.45">
      <c r="A54" s="247" t="s">
        <v>90</v>
      </c>
    </row>
    <row r="55" spans="1:1" x14ac:dyDescent="0.45">
      <c r="A55" s="248" t="s">
        <v>91</v>
      </c>
    </row>
    <row r="56" spans="1:1" x14ac:dyDescent="0.45">
      <c r="A56" s="248" t="s">
        <v>92</v>
      </c>
    </row>
    <row r="57" spans="1:1" x14ac:dyDescent="0.45">
      <c r="A57" s="248" t="s">
        <v>93</v>
      </c>
    </row>
    <row r="58" spans="1:1" x14ac:dyDescent="0.45">
      <c r="A58" s="247" t="s">
        <v>94</v>
      </c>
    </row>
    <row r="59" spans="1:1" x14ac:dyDescent="0.45">
      <c r="A59" s="248" t="s">
        <v>95</v>
      </c>
    </row>
    <row r="60" spans="1:1" x14ac:dyDescent="0.45">
      <c r="A60" s="248" t="s">
        <v>96</v>
      </c>
    </row>
  </sheetData>
  <sheetProtection sheet="1" objects="1" scenarios="1"/>
  <hyperlinks>
    <hyperlink ref="A6" r:id="rId1" location="2251.052" display="2251.052" xr:uid="{00000000-0004-0000-0000-000000000000}"/>
    <hyperlink ref="A8" r:id="rId2" display="http://texreg.sos.state.tx.us/public/readtac$ext.ViewTAC?tac_view=5&amp;ti=28&amp;pt=1&amp;ch=5&amp;sch=M&amp;div=6&amp;rl=Y" xr:uid="{00000000-0004-0000-0000-000001000000}"/>
    <hyperlink ref="A12" r:id="rId3" display="http://host.actuarialstandardsboard.org/standards-of-practice/" xr:uid="{00000000-0004-0000-0000-000002000000}"/>
    <hyperlink ref="A11" r:id="rId4" display="http://www.tdi.texas.gov/pubs/pc/rspceasy.html" xr:uid="{00000000-0004-0000-0000-000003000000}"/>
    <hyperlink ref="A34" r:id="rId5" location="'C1-Statewide Avg Rate Level Chg'!A1" xr:uid="{00000000-0004-0000-0000-000004000000}"/>
    <hyperlink ref="A35" r:id="rId6" location="'C2-Rate Change History'!A1" xr:uid="{00000000-0004-0000-0000-000005000000}"/>
    <hyperlink ref="A36" r:id="rId7" location="'C3-Rate Change by Variable'!A1" xr:uid="{00000000-0004-0000-0000-000006000000}"/>
    <hyperlink ref="A37" r:id="rId8" location="'D-Historical Experience'!A1" xr:uid="{00000000-0004-0000-0000-000007000000}"/>
    <hyperlink ref="A38" r:id="rId9" location="'E-Expense'!A1" xr:uid="{00000000-0004-0000-0000-000008000000}"/>
    <hyperlink ref="A39" r:id="rId10" location="'1-Indication'!A1" xr:uid="{00000000-0004-0000-0000-000009000000}"/>
    <hyperlink ref="A40" r:id="rId11" location="'2-Current Rate Level'!A1" xr:uid="{00000000-0004-0000-0000-00000A000000}"/>
    <hyperlink ref="A42" r:id="rId12" location="'4A-Premium Trend'!Print_Area" xr:uid="{00000000-0004-0000-0000-00000B000000}"/>
    <hyperlink ref="A43" r:id="rId13" location="'4B-Premium Trend'!Print_Area" xr:uid="{00000000-0004-0000-0000-00000C000000}"/>
    <hyperlink ref="A48" r:id="rId14" location="'6-Loss Development'!Print_Area" xr:uid="{00000000-0004-0000-0000-00000D000000}"/>
    <hyperlink ref="A44" r:id="rId15" location="'5A-Loss Trend'!A1" xr:uid="{00000000-0004-0000-0000-00000E000000}"/>
    <hyperlink ref="A45" r:id="rId16" location="'5B-Loss Trend'!A1" xr:uid="{00000000-0004-0000-0000-00000F000000}"/>
    <hyperlink ref="A46" r:id="rId17" location="'5C-Loss Trend'!A1" xr:uid="{00000000-0004-0000-0000-000010000000}"/>
    <hyperlink ref="A47" r:id="rId18" location="'5D-Loss Ratio Trend'!Print_Area" xr:uid="{00000000-0004-0000-0000-000011000000}"/>
    <hyperlink ref="A50" location="'8-Non-Cat Modeled Loss Load'!A1" display="8-Non-Modeled Cat Loss Load" xr:uid="{00000000-0004-0000-0000-000012000000}"/>
    <hyperlink ref="A51" r:id="rId19" location="'9-Modeled Cat'!A1" xr:uid="{00000000-0004-0000-0000-000013000000}"/>
    <hyperlink ref="A52" r:id="rId20" location="'10-Loss Adjustment Expenses'!A1" xr:uid="{00000000-0004-0000-0000-000014000000}"/>
    <hyperlink ref="A53" r:id="rId21" location="'11-Fixed &amp; Variable Expenses'!A1" xr:uid="{00000000-0004-0000-0000-000015000000}"/>
    <hyperlink ref="A54" r:id="rId22" location="'12-Reinsurance'!A1" xr:uid="{00000000-0004-0000-0000-000016000000}"/>
    <hyperlink ref="A55" r:id="rId23" location="'13A-Profit'!A1" xr:uid="{00000000-0004-0000-0000-000017000000}"/>
    <hyperlink ref="A56" r:id="rId24" location="'13B-Effective Return'!A1" xr:uid="{00000000-0004-0000-0000-000018000000}"/>
    <hyperlink ref="A57" r:id="rId25" location="'14-Credibility'!A1" xr:uid="{00000000-0004-0000-0000-000019000000}"/>
    <hyperlink ref="A58" r:id="rId26" location="'15-Fees'!A1" xr:uid="{00000000-0004-0000-0000-00001A000000}"/>
    <hyperlink ref="A59" r:id="rId27" location="'16-Policyholder Impact'!A1" xr:uid="{00000000-0004-0000-0000-00001B000000}"/>
    <hyperlink ref="A60" r:id="rId28" location="'17-Premium Change by County'!A1" xr:uid="{00000000-0004-0000-0000-00001C000000}"/>
    <hyperlink ref="A33" r:id="rId29" location="'General Information'!A1" xr:uid="{00000000-0004-0000-0000-00001D000000}"/>
    <hyperlink ref="A32" r:id="rId30" location="'Indication Checklist'!A1" xr:uid="{00000000-0004-0000-0000-00001E000000}"/>
    <hyperlink ref="A41" r:id="rId31" location="'3-Trend Period'!A1" xr:uid="{BA1D7A62-8A63-4B20-B0DC-D5451893C36A}"/>
    <hyperlink ref="A49" r:id="rId32" location="'7-Large Loss Load'!A1" xr:uid="{E9F5B099-44EA-4008-8F7A-78F12CEBC4DE}"/>
    <hyperlink ref="A7" r:id="rId33" display="Texas Administrative Code (TAC) §§5.9330 - 5.9334 (Division 6 - FME - Requirements for Rate and Rule Filings)" xr:uid="{C97CFB75-B581-406F-8BC3-A2A10A56C84A}"/>
  </hyperlinks>
  <printOptions horizontalCentered="1"/>
  <pageMargins left="0.5" right="0.5" top="0.5" bottom="0.5" header="0.3" footer="0.3"/>
  <pageSetup orientation="portrait" r:id="rId34"/>
  <rowBreaks count="1" manualBreakCount="1">
    <brk id="29"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1:N78"/>
  <sheetViews>
    <sheetView showGridLines="0" zoomScaleNormal="100" zoomScaleSheetLayoutView="85" zoomScalePageLayoutView="70" workbookViewId="0"/>
  </sheetViews>
  <sheetFormatPr defaultColWidth="8.88671875" defaultRowHeight="19.2" x14ac:dyDescent="0.45"/>
  <cols>
    <col min="1" max="1" width="14.5546875" style="273" customWidth="1"/>
    <col min="2" max="2" width="12" style="273" customWidth="1"/>
    <col min="3" max="11" width="10.6640625" style="273" customWidth="1"/>
    <col min="12" max="12" width="8.88671875" style="273"/>
    <col min="13" max="13" width="8.88671875" style="273" hidden="1" customWidth="1"/>
    <col min="14" max="14" width="8.88671875" style="273" customWidth="1"/>
    <col min="15" max="16384" width="8.88671875" style="273"/>
  </cols>
  <sheetData>
    <row r="1" spans="1:14" x14ac:dyDescent="0.45">
      <c r="A1" s="1055" t="str">
        <f>'General Information'!$A$1</f>
        <v>Texas Department of Insurance</v>
      </c>
    </row>
    <row r="2" spans="1:14" x14ac:dyDescent="0.45">
      <c r="A2" s="1055" t="str">
        <f>'General Information'!$A$2</f>
        <v>Property and Casualty Rate Filing Exhibits</v>
      </c>
      <c r="I2" s="160" t="s">
        <v>97</v>
      </c>
      <c r="J2" s="1018" t="str">
        <f>'General Information'!$E$2</f>
        <v>Fill out Gen Info</v>
      </c>
    </row>
    <row r="3" spans="1:14" x14ac:dyDescent="0.45">
      <c r="A3" s="1055" t="str">
        <f>'General Information'!$A$3</f>
        <v>Rate Filing Template (2025 Edition)</v>
      </c>
      <c r="I3" s="160" t="s">
        <v>98</v>
      </c>
      <c r="J3" s="1018" t="str">
        <f>'General Information'!$E$3</f>
        <v>Fill out Gen Info</v>
      </c>
    </row>
    <row r="4" spans="1:14" x14ac:dyDescent="0.45">
      <c r="A4" s="1101"/>
      <c r="M4" s="1101" t="s">
        <v>401</v>
      </c>
    </row>
    <row r="5" spans="1:14" x14ac:dyDescent="0.45">
      <c r="A5" s="1132" t="s">
        <v>402</v>
      </c>
      <c r="B5" s="1133"/>
      <c r="C5" s="1133"/>
      <c r="D5" s="1133"/>
      <c r="E5" s="1133"/>
      <c r="F5" s="1133"/>
      <c r="G5" s="1133"/>
      <c r="H5" s="1133"/>
      <c r="I5" s="1133"/>
      <c r="J5" s="1133"/>
      <c r="K5" s="1133"/>
    </row>
    <row r="6" spans="1:14" x14ac:dyDescent="0.45">
      <c r="A6" s="1101"/>
    </row>
    <row r="7" spans="1:14" x14ac:dyDescent="0.45">
      <c r="A7" s="724" t="str">
        <f>IF(J5="Calendar Year Losses","NOTE: Losses do not need to be developed if rate indication is performed on calendar year losses.","")</f>
        <v/>
      </c>
      <c r="I7" s="160"/>
      <c r="J7" s="289"/>
    </row>
    <row r="8" spans="1:14" x14ac:dyDescent="0.45">
      <c r="A8" s="1306" t="s">
        <v>403</v>
      </c>
      <c r="B8" s="1306"/>
      <c r="C8" s="1306"/>
      <c r="D8" s="745"/>
      <c r="E8" s="288" t="s">
        <v>404</v>
      </c>
      <c r="G8" s="1101"/>
      <c r="N8" s="1086"/>
    </row>
    <row r="9" spans="1:14" x14ac:dyDescent="0.45">
      <c r="M9" s="1086" t="s">
        <v>405</v>
      </c>
    </row>
    <row r="10" spans="1:14" x14ac:dyDescent="0.45">
      <c r="B10" s="1173" t="str">
        <f>IF('General Information'!B18='Drop Down Lists and Formatting'!A40,TEXT(D8,"")&amp;" Losses as of",TEXT(D8,"")&amp;" Losses &amp; DCCE as of")</f>
        <v xml:space="preserve"> Losses &amp; DCCE as of</v>
      </c>
      <c r="C10" s="1260"/>
      <c r="D10" s="1260"/>
      <c r="E10" s="1260"/>
      <c r="F10" s="1260"/>
      <c r="G10" s="1260"/>
      <c r="H10" s="1260"/>
      <c r="I10" s="1260"/>
      <c r="J10" s="1260"/>
      <c r="K10" s="1174"/>
      <c r="M10" s="1086" t="s">
        <v>406</v>
      </c>
    </row>
    <row r="11" spans="1:14" x14ac:dyDescent="0.45">
      <c r="A11" s="1315" t="str">
        <f>TEXT("AY Ending
","") &amp; IF('General Information'!B20="","__ ",TEXT(MONTH('General Information'!B20),"#")) &amp; TEXT("/","") &amp; IF('General Information'!B20="","__ ",TEXT(DAY('General Information'!B20),"#"))</f>
        <v xml:space="preserve">AY Ending
__ /__ </v>
      </c>
      <c r="B11" s="1317" t="s">
        <v>407</v>
      </c>
      <c r="C11" s="1318"/>
      <c r="D11" s="1318"/>
      <c r="E11" s="1318"/>
      <c r="F11" s="1318"/>
      <c r="G11" s="1318"/>
      <c r="H11" s="1318"/>
      <c r="I11" s="1318"/>
      <c r="J11" s="1318"/>
      <c r="K11" s="1319"/>
    </row>
    <row r="12" spans="1:14" x14ac:dyDescent="0.45">
      <c r="A12" s="1316"/>
      <c r="B12" s="746" t="str">
        <f>IF('General Information'!B22="","__",12+ROUND(('General Information'!B22-'General Information'!B20)/30,0))</f>
        <v>__</v>
      </c>
      <c r="C12" s="747" t="str">
        <f>IF('General Information'!B22="","__",B12+12)</f>
        <v>__</v>
      </c>
      <c r="D12" s="748" t="str">
        <f>IF('General Information'!B22="","__",C12+12)</f>
        <v>__</v>
      </c>
      <c r="E12" s="748" t="str">
        <f>IF('General Information'!B22="","__",D12+12)</f>
        <v>__</v>
      </c>
      <c r="F12" s="748" t="str">
        <f>IF('General Information'!B22="","__",E12+12)</f>
        <v>__</v>
      </c>
      <c r="G12" s="748" t="str">
        <f>IF('General Information'!B22="","__",F12+12)</f>
        <v>__</v>
      </c>
      <c r="H12" s="748" t="str">
        <f>IF('General Information'!B22="","__",G12+12)</f>
        <v>__</v>
      </c>
      <c r="I12" s="748" t="str">
        <f>IF('General Information'!B22="","__",H12+12)</f>
        <v>__</v>
      </c>
      <c r="J12" s="748" t="str">
        <f>IF('General Information'!B22="","__",I12+12)</f>
        <v>__</v>
      </c>
      <c r="K12" s="749" t="str">
        <f>IF('General Information'!B22="","__",J12+12)</f>
        <v>__</v>
      </c>
    </row>
    <row r="13" spans="1:14" x14ac:dyDescent="0.45">
      <c r="A13" s="750" t="str">
        <f>IF('General Information'!$B$20="","20__",A14-1)</f>
        <v>20__</v>
      </c>
      <c r="B13" s="751"/>
      <c r="C13" s="752"/>
      <c r="D13" s="752"/>
      <c r="E13" s="752"/>
      <c r="F13" s="751"/>
      <c r="G13" s="752"/>
      <c r="H13" s="751"/>
      <c r="I13" s="752"/>
      <c r="J13" s="751"/>
      <c r="K13" s="753"/>
    </row>
    <row r="14" spans="1:14" x14ac:dyDescent="0.45">
      <c r="A14" s="754" t="str">
        <f>IF('General Information'!$B$20="","20__",A15-1)</f>
        <v>20__</v>
      </c>
      <c r="B14" s="755"/>
      <c r="C14" s="756"/>
      <c r="D14" s="756"/>
      <c r="E14" s="756"/>
      <c r="F14" s="756"/>
      <c r="G14" s="756"/>
      <c r="H14" s="756"/>
      <c r="I14" s="756"/>
      <c r="J14" s="756"/>
      <c r="K14" s="757"/>
    </row>
    <row r="15" spans="1:14" x14ac:dyDescent="0.45">
      <c r="A15" s="750" t="str">
        <f>IF('General Information'!$B$20="","20__",A16-1)</f>
        <v>20__</v>
      </c>
      <c r="B15" s="758"/>
      <c r="C15" s="759"/>
      <c r="D15" s="759"/>
      <c r="E15" s="759"/>
      <c r="F15" s="759"/>
      <c r="G15" s="759"/>
      <c r="H15" s="759"/>
      <c r="I15" s="759"/>
      <c r="J15" s="760"/>
      <c r="K15" s="757"/>
    </row>
    <row r="16" spans="1:14" x14ac:dyDescent="0.45">
      <c r="A16" s="754" t="str">
        <f>IF('General Information'!$B$20="","20__",A17-1)</f>
        <v>20__</v>
      </c>
      <c r="B16" s="755"/>
      <c r="C16" s="756"/>
      <c r="D16" s="756"/>
      <c r="E16" s="756"/>
      <c r="F16" s="756"/>
      <c r="G16" s="756"/>
      <c r="H16" s="756"/>
      <c r="I16" s="760"/>
      <c r="J16" s="760"/>
      <c r="K16" s="757"/>
    </row>
    <row r="17" spans="1:11" x14ac:dyDescent="0.45">
      <c r="A17" s="750" t="str">
        <f>IF('General Information'!$B$20="","20__",A18-1)</f>
        <v>20__</v>
      </c>
      <c r="B17" s="758"/>
      <c r="C17" s="759"/>
      <c r="D17" s="759"/>
      <c r="E17" s="759"/>
      <c r="F17" s="759"/>
      <c r="G17" s="759"/>
      <c r="H17" s="760"/>
      <c r="I17" s="760"/>
      <c r="J17" s="760"/>
      <c r="K17" s="757"/>
    </row>
    <row r="18" spans="1:11" x14ac:dyDescent="0.45">
      <c r="A18" s="754" t="str">
        <f>IF('General Information'!$B$20="","20__",A19-1)</f>
        <v>20__</v>
      </c>
      <c r="B18" s="755"/>
      <c r="C18" s="756"/>
      <c r="D18" s="756"/>
      <c r="E18" s="756"/>
      <c r="F18" s="756"/>
      <c r="G18" s="760"/>
      <c r="H18" s="760"/>
      <c r="I18" s="760"/>
      <c r="J18" s="760"/>
      <c r="K18" s="757"/>
    </row>
    <row r="19" spans="1:11" x14ac:dyDescent="0.45">
      <c r="A19" s="750" t="str">
        <f>IF('General Information'!$B$20="","20__",A20-1)</f>
        <v>20__</v>
      </c>
      <c r="B19" s="758"/>
      <c r="C19" s="759"/>
      <c r="D19" s="759"/>
      <c r="E19" s="759"/>
      <c r="F19" s="760"/>
      <c r="G19" s="760"/>
      <c r="H19" s="760"/>
      <c r="I19" s="760"/>
      <c r="J19" s="760"/>
      <c r="K19" s="757"/>
    </row>
    <row r="20" spans="1:11" x14ac:dyDescent="0.45">
      <c r="A20" s="754" t="str">
        <f>IF('General Information'!$B$20="","20__",A21-1)</f>
        <v>20__</v>
      </c>
      <c r="B20" s="755"/>
      <c r="C20" s="756"/>
      <c r="D20" s="756"/>
      <c r="E20" s="760"/>
      <c r="F20" s="760"/>
      <c r="G20" s="760"/>
      <c r="H20" s="760"/>
      <c r="I20" s="760"/>
      <c r="J20" s="760"/>
      <c r="K20" s="757"/>
    </row>
    <row r="21" spans="1:11" x14ac:dyDescent="0.45">
      <c r="A21" s="750" t="str">
        <f>IF('General Information'!$B$20="","20__",A22-1)</f>
        <v>20__</v>
      </c>
      <c r="B21" s="758"/>
      <c r="C21" s="759"/>
      <c r="D21" s="760"/>
      <c r="E21" s="760"/>
      <c r="F21" s="760"/>
      <c r="G21" s="760"/>
      <c r="H21" s="760"/>
      <c r="I21" s="760"/>
      <c r="J21" s="760"/>
      <c r="K21" s="757"/>
    </row>
    <row r="22" spans="1:11" x14ac:dyDescent="0.45">
      <c r="A22" s="761" t="str">
        <f>IF('General Information'!B20="","20__",YEAR('General Information'!B20))</f>
        <v>20__</v>
      </c>
      <c r="B22" s="762"/>
      <c r="C22" s="763"/>
      <c r="D22" s="763"/>
      <c r="E22" s="763"/>
      <c r="F22" s="763"/>
      <c r="G22" s="763"/>
      <c r="H22" s="763"/>
      <c r="I22" s="763"/>
      <c r="J22" s="763"/>
      <c r="K22" s="764"/>
    </row>
    <row r="24" spans="1:11" ht="14.4" customHeight="1" x14ac:dyDescent="0.45">
      <c r="A24" s="1298" t="s">
        <v>408</v>
      </c>
      <c r="B24" s="1299"/>
      <c r="C24" s="1299"/>
      <c r="D24" s="1299"/>
      <c r="E24" s="1299"/>
      <c r="F24" s="1299"/>
      <c r="G24" s="1299"/>
      <c r="H24" s="1299"/>
      <c r="I24" s="1299"/>
      <c r="J24" s="1299"/>
      <c r="K24" s="1300"/>
    </row>
    <row r="25" spans="1:11" ht="23.4" customHeight="1" x14ac:dyDescent="0.45">
      <c r="A25" s="1301"/>
      <c r="B25" s="1302"/>
      <c r="C25" s="1302"/>
      <c r="D25" s="1302"/>
      <c r="E25" s="1302"/>
      <c r="F25" s="1302"/>
      <c r="G25" s="1302"/>
      <c r="H25" s="1302"/>
      <c r="I25" s="1302"/>
      <c r="J25" s="1302"/>
      <c r="K25" s="1303"/>
    </row>
    <row r="26" spans="1:11" x14ac:dyDescent="0.45">
      <c r="A26" s="1309"/>
      <c r="B26" s="1310"/>
      <c r="C26" s="1310"/>
      <c r="D26" s="1310"/>
      <c r="E26" s="1310"/>
      <c r="F26" s="1310"/>
      <c r="G26" s="1310"/>
      <c r="H26" s="1310"/>
      <c r="I26" s="1310"/>
      <c r="J26" s="1310"/>
      <c r="K26" s="1311"/>
    </row>
    <row r="27" spans="1:11" x14ac:dyDescent="0.45">
      <c r="A27" s="1312"/>
      <c r="B27" s="1313"/>
      <c r="C27" s="1313"/>
      <c r="D27" s="1313"/>
      <c r="E27" s="1313"/>
      <c r="F27" s="1313"/>
      <c r="G27" s="1313"/>
      <c r="H27" s="1313"/>
      <c r="I27" s="1313"/>
      <c r="J27" s="1313"/>
      <c r="K27" s="1314"/>
    </row>
    <row r="28" spans="1:11" x14ac:dyDescent="0.45">
      <c r="A28" s="765"/>
      <c r="B28" s="766"/>
      <c r="C28" s="766"/>
      <c r="D28" s="766"/>
      <c r="E28" s="766"/>
      <c r="F28" s="766"/>
      <c r="G28" s="766"/>
      <c r="H28" s="766"/>
      <c r="I28" s="766"/>
      <c r="J28" s="766"/>
      <c r="K28" s="767"/>
    </row>
    <row r="29" spans="1:11" x14ac:dyDescent="0.45">
      <c r="C29" s="1173" t="s">
        <v>409</v>
      </c>
      <c r="D29" s="1260"/>
      <c r="E29" s="1260"/>
      <c r="F29" s="1260"/>
      <c r="G29" s="1260"/>
      <c r="H29" s="1260"/>
      <c r="I29" s="1260"/>
      <c r="J29" s="1260"/>
      <c r="K29" s="1174"/>
    </row>
    <row r="30" spans="1:11" x14ac:dyDescent="0.45">
      <c r="A30" s="1320" t="str">
        <f>A11</f>
        <v xml:space="preserve">AY Ending
__ /__ </v>
      </c>
      <c r="B30" s="1321"/>
      <c r="C30" s="1318" t="s">
        <v>410</v>
      </c>
      <c r="D30" s="1318"/>
      <c r="E30" s="1318"/>
      <c r="F30" s="1318"/>
      <c r="G30" s="1318"/>
      <c r="H30" s="1318"/>
      <c r="I30" s="1318"/>
      <c r="J30" s="1318"/>
      <c r="K30" s="1319"/>
    </row>
    <row r="31" spans="1:11" x14ac:dyDescent="0.45">
      <c r="A31" s="1322"/>
      <c r="B31" s="1323"/>
      <c r="C31" s="768" t="str">
        <f>TEXT(B12,"#") &amp; TEXT("-","") &amp; TEXT(C12,"#")</f>
        <v>__-__</v>
      </c>
      <c r="D31" s="769" t="str">
        <f t="shared" ref="D31:K31" si="0">TEXT(C12,"#") &amp; TEXT("-","") &amp; TEXT(D12,"#")</f>
        <v>__-__</v>
      </c>
      <c r="E31" s="769" t="str">
        <f t="shared" si="0"/>
        <v>__-__</v>
      </c>
      <c r="F31" s="769" t="str">
        <f t="shared" si="0"/>
        <v>__-__</v>
      </c>
      <c r="G31" s="769" t="str">
        <f t="shared" si="0"/>
        <v>__-__</v>
      </c>
      <c r="H31" s="769" t="str">
        <f t="shared" si="0"/>
        <v>__-__</v>
      </c>
      <c r="I31" s="769" t="str">
        <f t="shared" si="0"/>
        <v>__-__</v>
      </c>
      <c r="J31" s="769" t="str">
        <f t="shared" si="0"/>
        <v>__-__</v>
      </c>
      <c r="K31" s="770" t="str">
        <f t="shared" si="0"/>
        <v>__-__</v>
      </c>
    </row>
    <row r="32" spans="1:11" x14ac:dyDescent="0.45">
      <c r="A32" s="1291" t="str">
        <f>A13</f>
        <v>20__</v>
      </c>
      <c r="B32" s="1292"/>
      <c r="C32" s="771">
        <f>IFERROR(C13/B13,1)</f>
        <v>1</v>
      </c>
      <c r="D32" s="771">
        <f>IFERROR(D13/C13,1)</f>
        <v>1</v>
      </c>
      <c r="E32" s="771">
        <f t="shared" ref="E32:K32" si="1">IFERROR(E13/D13,1)</f>
        <v>1</v>
      </c>
      <c r="F32" s="771">
        <f t="shared" si="1"/>
        <v>1</v>
      </c>
      <c r="G32" s="771">
        <f t="shared" si="1"/>
        <v>1</v>
      </c>
      <c r="H32" s="771">
        <f t="shared" si="1"/>
        <v>1</v>
      </c>
      <c r="I32" s="771">
        <f t="shared" si="1"/>
        <v>1</v>
      </c>
      <c r="J32" s="771">
        <f t="shared" si="1"/>
        <v>1</v>
      </c>
      <c r="K32" s="772">
        <f t="shared" si="1"/>
        <v>1</v>
      </c>
    </row>
    <row r="33" spans="1:11" x14ac:dyDescent="0.45">
      <c r="A33" s="1293" t="str">
        <f t="shared" ref="A33:A41" si="2">A14</f>
        <v>20__</v>
      </c>
      <c r="B33" s="1294"/>
      <c r="C33" s="773">
        <f t="shared" ref="C33:J40" si="3">IFERROR(C14/B14,1)</f>
        <v>1</v>
      </c>
      <c r="D33" s="773">
        <f t="shared" si="3"/>
        <v>1</v>
      </c>
      <c r="E33" s="773">
        <f t="shared" si="3"/>
        <v>1</v>
      </c>
      <c r="F33" s="773">
        <f t="shared" si="3"/>
        <v>1</v>
      </c>
      <c r="G33" s="773">
        <f t="shared" si="3"/>
        <v>1</v>
      </c>
      <c r="H33" s="773">
        <f t="shared" si="3"/>
        <v>1</v>
      </c>
      <c r="I33" s="773">
        <f t="shared" si="3"/>
        <v>1</v>
      </c>
      <c r="J33" s="773">
        <f t="shared" si="3"/>
        <v>1</v>
      </c>
      <c r="K33" s="774"/>
    </row>
    <row r="34" spans="1:11" x14ac:dyDescent="0.45">
      <c r="A34" s="1289" t="str">
        <f t="shared" si="2"/>
        <v>20__</v>
      </c>
      <c r="B34" s="1290"/>
      <c r="C34" s="771">
        <f t="shared" si="3"/>
        <v>1</v>
      </c>
      <c r="D34" s="771">
        <f t="shared" si="3"/>
        <v>1</v>
      </c>
      <c r="E34" s="771">
        <f t="shared" si="3"/>
        <v>1</v>
      </c>
      <c r="F34" s="771">
        <f t="shared" si="3"/>
        <v>1</v>
      </c>
      <c r="G34" s="771">
        <f t="shared" si="3"/>
        <v>1</v>
      </c>
      <c r="H34" s="771">
        <f t="shared" si="3"/>
        <v>1</v>
      </c>
      <c r="I34" s="771">
        <f t="shared" si="3"/>
        <v>1</v>
      </c>
      <c r="J34" s="775"/>
      <c r="K34" s="774"/>
    </row>
    <row r="35" spans="1:11" x14ac:dyDescent="0.45">
      <c r="A35" s="1293" t="str">
        <f t="shared" si="2"/>
        <v>20__</v>
      </c>
      <c r="B35" s="1294"/>
      <c r="C35" s="773">
        <f t="shared" si="3"/>
        <v>1</v>
      </c>
      <c r="D35" s="773">
        <f t="shared" si="3"/>
        <v>1</v>
      </c>
      <c r="E35" s="773">
        <f t="shared" si="3"/>
        <v>1</v>
      </c>
      <c r="F35" s="773">
        <f t="shared" si="3"/>
        <v>1</v>
      </c>
      <c r="G35" s="773">
        <f t="shared" si="3"/>
        <v>1</v>
      </c>
      <c r="H35" s="773">
        <f t="shared" si="3"/>
        <v>1</v>
      </c>
      <c r="I35" s="775"/>
      <c r="J35" s="775"/>
      <c r="K35" s="774"/>
    </row>
    <row r="36" spans="1:11" x14ac:dyDescent="0.45">
      <c r="A36" s="1289" t="str">
        <f t="shared" si="2"/>
        <v>20__</v>
      </c>
      <c r="B36" s="1290"/>
      <c r="C36" s="771">
        <f t="shared" si="3"/>
        <v>1</v>
      </c>
      <c r="D36" s="771">
        <f t="shared" si="3"/>
        <v>1</v>
      </c>
      <c r="E36" s="771">
        <f t="shared" si="3"/>
        <v>1</v>
      </c>
      <c r="F36" s="771">
        <f t="shared" si="3"/>
        <v>1</v>
      </c>
      <c r="G36" s="771">
        <f t="shared" si="3"/>
        <v>1</v>
      </c>
      <c r="H36" s="775"/>
      <c r="I36" s="775"/>
      <c r="J36" s="775"/>
      <c r="K36" s="774"/>
    </row>
    <row r="37" spans="1:11" x14ac:dyDescent="0.45">
      <c r="A37" s="1293" t="str">
        <f t="shared" si="2"/>
        <v>20__</v>
      </c>
      <c r="B37" s="1294"/>
      <c r="C37" s="773">
        <f t="shared" si="3"/>
        <v>1</v>
      </c>
      <c r="D37" s="773">
        <f t="shared" si="3"/>
        <v>1</v>
      </c>
      <c r="E37" s="773">
        <f t="shared" si="3"/>
        <v>1</v>
      </c>
      <c r="F37" s="773">
        <f t="shared" si="3"/>
        <v>1</v>
      </c>
      <c r="G37" s="775"/>
      <c r="H37" s="775"/>
      <c r="I37" s="775"/>
      <c r="J37" s="775"/>
      <c r="K37" s="774"/>
    </row>
    <row r="38" spans="1:11" x14ac:dyDescent="0.45">
      <c r="A38" s="1289" t="str">
        <f t="shared" si="2"/>
        <v>20__</v>
      </c>
      <c r="B38" s="1290"/>
      <c r="C38" s="771">
        <f t="shared" si="3"/>
        <v>1</v>
      </c>
      <c r="D38" s="771">
        <f t="shared" si="3"/>
        <v>1</v>
      </c>
      <c r="E38" s="771">
        <f t="shared" si="3"/>
        <v>1</v>
      </c>
      <c r="F38" s="775"/>
      <c r="G38" s="775"/>
      <c r="H38" s="775"/>
      <c r="I38" s="775"/>
      <c r="J38" s="775"/>
      <c r="K38" s="774"/>
    </row>
    <row r="39" spans="1:11" x14ac:dyDescent="0.45">
      <c r="A39" s="1293" t="str">
        <f t="shared" si="2"/>
        <v>20__</v>
      </c>
      <c r="B39" s="1294"/>
      <c r="C39" s="773">
        <f t="shared" si="3"/>
        <v>1</v>
      </c>
      <c r="D39" s="773">
        <f t="shared" si="3"/>
        <v>1</v>
      </c>
      <c r="E39" s="775"/>
      <c r="F39" s="775"/>
      <c r="G39" s="775"/>
      <c r="H39" s="775"/>
      <c r="I39" s="775"/>
      <c r="J39" s="775"/>
      <c r="K39" s="774"/>
    </row>
    <row r="40" spans="1:11" x14ac:dyDescent="0.45">
      <c r="A40" s="1289" t="str">
        <f t="shared" si="2"/>
        <v>20__</v>
      </c>
      <c r="B40" s="1290"/>
      <c r="C40" s="771">
        <f t="shared" si="3"/>
        <v>1</v>
      </c>
      <c r="D40" s="775"/>
      <c r="E40" s="775"/>
      <c r="F40" s="775"/>
      <c r="G40" s="775"/>
      <c r="H40" s="775"/>
      <c r="I40" s="775"/>
      <c r="J40" s="775"/>
      <c r="K40" s="774"/>
    </row>
    <row r="41" spans="1:11" x14ac:dyDescent="0.45">
      <c r="A41" s="1287" t="str">
        <f t="shared" si="2"/>
        <v>20__</v>
      </c>
      <c r="B41" s="1288"/>
      <c r="C41" s="776"/>
      <c r="D41" s="776"/>
      <c r="E41" s="776"/>
      <c r="F41" s="776"/>
      <c r="G41" s="776"/>
      <c r="H41" s="776"/>
      <c r="I41" s="776"/>
      <c r="J41" s="776"/>
      <c r="K41" s="777"/>
    </row>
    <row r="44" spans="1:11" x14ac:dyDescent="0.45">
      <c r="B44" s="592"/>
      <c r="C44" s="1173" t="s">
        <v>411</v>
      </c>
      <c r="D44" s="1260"/>
      <c r="E44" s="1260"/>
      <c r="F44" s="1260"/>
      <c r="G44" s="1260"/>
      <c r="H44" s="1260"/>
      <c r="I44" s="1260"/>
      <c r="J44" s="1260"/>
      <c r="K44" s="1174"/>
    </row>
    <row r="45" spans="1:11" x14ac:dyDescent="0.45">
      <c r="A45" s="1320" t="s">
        <v>412</v>
      </c>
      <c r="B45" s="1321"/>
      <c r="C45" s="1317" t="s">
        <v>410</v>
      </c>
      <c r="D45" s="1318"/>
      <c r="E45" s="1318"/>
      <c r="F45" s="1318"/>
      <c r="G45" s="1318"/>
      <c r="H45" s="1318"/>
      <c r="I45" s="1318"/>
      <c r="J45" s="1318"/>
      <c r="K45" s="1319"/>
    </row>
    <row r="46" spans="1:11" x14ac:dyDescent="0.45">
      <c r="A46" s="1322"/>
      <c r="B46" s="1323"/>
      <c r="C46" s="778" t="str">
        <f>C31</f>
        <v>__-__</v>
      </c>
      <c r="D46" s="779" t="str">
        <f t="shared" ref="D46:K46" si="4">D31</f>
        <v>__-__</v>
      </c>
      <c r="E46" s="779" t="str">
        <f t="shared" si="4"/>
        <v>__-__</v>
      </c>
      <c r="F46" s="779" t="str">
        <f t="shared" si="4"/>
        <v>__-__</v>
      </c>
      <c r="G46" s="779" t="str">
        <f t="shared" si="4"/>
        <v>__-__</v>
      </c>
      <c r="H46" s="779" t="str">
        <f t="shared" si="4"/>
        <v>__-__</v>
      </c>
      <c r="I46" s="779" t="str">
        <f t="shared" si="4"/>
        <v>__-__</v>
      </c>
      <c r="J46" s="779" t="str">
        <f t="shared" si="4"/>
        <v>__-__</v>
      </c>
      <c r="K46" s="780" t="str">
        <f t="shared" si="4"/>
        <v>__-__</v>
      </c>
    </row>
    <row r="47" spans="1:11" x14ac:dyDescent="0.45">
      <c r="A47" s="1307" t="s">
        <v>413</v>
      </c>
      <c r="B47" s="1308"/>
      <c r="C47" s="771">
        <f>AVERAGE(C32:C40)</f>
        <v>1</v>
      </c>
      <c r="D47" s="771">
        <f t="shared" ref="D47:K47" si="5">AVERAGE(D32:D40)</f>
        <v>1</v>
      </c>
      <c r="E47" s="771">
        <f t="shared" si="5"/>
        <v>1</v>
      </c>
      <c r="F47" s="771">
        <f t="shared" si="5"/>
        <v>1</v>
      </c>
      <c r="G47" s="771">
        <f t="shared" si="5"/>
        <v>1</v>
      </c>
      <c r="H47" s="771">
        <f t="shared" si="5"/>
        <v>1</v>
      </c>
      <c r="I47" s="771">
        <f t="shared" si="5"/>
        <v>1</v>
      </c>
      <c r="J47" s="781">
        <f t="shared" si="5"/>
        <v>1</v>
      </c>
      <c r="K47" s="782">
        <f t="shared" si="5"/>
        <v>1</v>
      </c>
    </row>
    <row r="48" spans="1:11" x14ac:dyDescent="0.45">
      <c r="A48" s="1283" t="s">
        <v>414</v>
      </c>
      <c r="B48" s="1284"/>
      <c r="C48" s="783">
        <f>TRIMMEAN(C32:C40,2/COUNT(C32:C40))</f>
        <v>1</v>
      </c>
      <c r="D48" s="783">
        <f t="shared" ref="D48:I48" si="6">TRIMMEAN(D32:D40,2/COUNT(D32:D40))</f>
        <v>1</v>
      </c>
      <c r="E48" s="783">
        <f t="shared" si="6"/>
        <v>1</v>
      </c>
      <c r="F48" s="784">
        <f t="shared" si="6"/>
        <v>1</v>
      </c>
      <c r="G48" s="783">
        <f t="shared" si="6"/>
        <v>1</v>
      </c>
      <c r="H48" s="783">
        <f t="shared" si="6"/>
        <v>1</v>
      </c>
      <c r="I48" s="784">
        <f t="shared" si="6"/>
        <v>1</v>
      </c>
      <c r="J48" s="775"/>
      <c r="K48" s="774"/>
    </row>
    <row r="49" spans="1:11" x14ac:dyDescent="0.45">
      <c r="A49" s="1285" t="s">
        <v>415</v>
      </c>
      <c r="B49" s="1286"/>
      <c r="C49" s="771">
        <f>AVERAGE(C34:C40)</f>
        <v>1</v>
      </c>
      <c r="D49" s="771">
        <f>AVERAGE(D33:D39)</f>
        <v>1</v>
      </c>
      <c r="E49" s="781">
        <f>AVERAGE(E32:E38)</f>
        <v>1</v>
      </c>
      <c r="F49" s="785"/>
      <c r="G49" s="785"/>
      <c r="H49" s="785"/>
      <c r="I49" s="785"/>
      <c r="J49" s="785"/>
      <c r="K49" s="786"/>
    </row>
    <row r="50" spans="1:11" x14ac:dyDescent="0.45">
      <c r="A50" s="1283" t="s">
        <v>416</v>
      </c>
      <c r="B50" s="1284"/>
      <c r="C50" s="783">
        <f>TRIMMEAN(C34:C40,2/COUNT(C34:C40))</f>
        <v>1</v>
      </c>
      <c r="D50" s="783">
        <f>TRIMMEAN(D33:D39,2/COUNT(D33:D39))</f>
        <v>1</v>
      </c>
      <c r="E50" s="784">
        <f>TRIMMEAN(E32:E38,2/COUNT(E32:E38))</f>
        <v>1</v>
      </c>
      <c r="F50" s="785"/>
      <c r="G50" s="785"/>
      <c r="H50" s="785"/>
      <c r="I50" s="785"/>
      <c r="J50" s="785"/>
      <c r="K50" s="786"/>
    </row>
    <row r="51" spans="1:11" x14ac:dyDescent="0.45">
      <c r="A51" s="1285" t="s">
        <v>417</v>
      </c>
      <c r="B51" s="1286"/>
      <c r="C51" s="771">
        <f>AVERAGE(C36:C40)</f>
        <v>1</v>
      </c>
      <c r="D51" s="771">
        <f>AVERAGE(D35:D39)</f>
        <v>1</v>
      </c>
      <c r="E51" s="771">
        <f>AVERAGE(E34:E38)</f>
        <v>1</v>
      </c>
      <c r="F51" s="787">
        <f>AVERAGE(F33:F37)</f>
        <v>1</v>
      </c>
      <c r="G51" s="787">
        <f>AVERAGE(G32:G36)</f>
        <v>1</v>
      </c>
      <c r="H51" s="785"/>
      <c r="I51" s="785"/>
      <c r="J51" s="785"/>
      <c r="K51" s="786"/>
    </row>
    <row r="52" spans="1:11" x14ac:dyDescent="0.45">
      <c r="A52" s="1283" t="s">
        <v>418</v>
      </c>
      <c r="B52" s="1284"/>
      <c r="C52" s="783">
        <f>TRIMMEAN(C36:C40,2/COUNT(C36:C40))</f>
        <v>1</v>
      </c>
      <c r="D52" s="783">
        <f>TRIMMEAN(D35:D39,2/COUNT(D35:D39))</f>
        <v>1</v>
      </c>
      <c r="E52" s="783">
        <f>TRIMMEAN(E34:E38,2/COUNT(E34:E38))</f>
        <v>1</v>
      </c>
      <c r="F52" s="783">
        <f>TRIMMEAN(F33:F37,2/COUNT(F33:F37))</f>
        <v>1</v>
      </c>
      <c r="G52" s="784">
        <f>TRIMMEAN(G32:G36,2/COUNT(G32:G36))</f>
        <v>1</v>
      </c>
      <c r="H52" s="785"/>
      <c r="I52" s="785"/>
      <c r="J52" s="785"/>
      <c r="K52" s="786"/>
    </row>
    <row r="53" spans="1:11" x14ac:dyDescent="0.45">
      <c r="A53" s="1285" t="s">
        <v>419</v>
      </c>
      <c r="B53" s="1286"/>
      <c r="C53" s="771">
        <f>AVERAGE(C37:C40)</f>
        <v>1</v>
      </c>
      <c r="D53" s="771">
        <f>AVERAGE(D36:D39)</f>
        <v>1</v>
      </c>
      <c r="E53" s="771">
        <f>AVERAGE(E35:E38)</f>
        <v>1</v>
      </c>
      <c r="F53" s="771">
        <f>AVERAGE(F34:F37)</f>
        <v>1</v>
      </c>
      <c r="G53" s="771">
        <f>AVERAGE(G33:G36)</f>
        <v>1</v>
      </c>
      <c r="H53" s="787">
        <f>AVERAGE(H32:H35)</f>
        <v>1</v>
      </c>
      <c r="I53" s="785"/>
      <c r="J53" s="785"/>
      <c r="K53" s="786"/>
    </row>
    <row r="54" spans="1:11" x14ac:dyDescent="0.45">
      <c r="A54" s="1283" t="s">
        <v>420</v>
      </c>
      <c r="B54" s="1284"/>
      <c r="C54" s="783">
        <f>TRIMMEAN(C37:C40,2/COUNT(C37:C40))</f>
        <v>1</v>
      </c>
      <c r="D54" s="783">
        <f>TRIMMEAN(D36:D39,2/COUNT(D36:D39))</f>
        <v>1</v>
      </c>
      <c r="E54" s="783">
        <f>TRIMMEAN(E35:E38,2/COUNT(E35:E38))</f>
        <v>1</v>
      </c>
      <c r="F54" s="783">
        <f>TRIMMEAN(F34:F37,2/COUNT(F34:F37))</f>
        <v>1</v>
      </c>
      <c r="G54" s="783">
        <f>TRIMMEAN(G33:G36,2/COUNT(G33:G36))</f>
        <v>1</v>
      </c>
      <c r="H54" s="784">
        <f>TRIMMEAN(H32:H35,2/COUNT(H32:H35))</f>
        <v>1</v>
      </c>
      <c r="I54" s="785"/>
      <c r="J54" s="785"/>
      <c r="K54" s="786"/>
    </row>
    <row r="55" spans="1:11" x14ac:dyDescent="0.45">
      <c r="A55" s="1285" t="s">
        <v>421</v>
      </c>
      <c r="B55" s="1286"/>
      <c r="C55" s="771">
        <f>AVERAGE(C38:C40)</f>
        <v>1</v>
      </c>
      <c r="D55" s="771">
        <f>AVERAGE(D37:D39)</f>
        <v>1</v>
      </c>
      <c r="E55" s="771">
        <f>AVERAGE(E36:E38)</f>
        <v>1</v>
      </c>
      <c r="F55" s="771">
        <f>AVERAGE(F35:F37)</f>
        <v>1</v>
      </c>
      <c r="G55" s="771">
        <f>AVERAGE(G34:G36)</f>
        <v>1</v>
      </c>
      <c r="H55" s="771">
        <f>AVERAGE(H33:H35)</f>
        <v>1</v>
      </c>
      <c r="I55" s="787">
        <f>AVERAGE(I32:I34)</f>
        <v>1</v>
      </c>
      <c r="J55" s="785"/>
      <c r="K55" s="786"/>
    </row>
    <row r="56" spans="1:11" x14ac:dyDescent="0.45">
      <c r="A56" s="1283" t="s">
        <v>422</v>
      </c>
      <c r="B56" s="1284"/>
      <c r="C56" s="788">
        <f>AVERAGE(C39:C40)</f>
        <v>1</v>
      </c>
      <c r="D56" s="789">
        <f>AVERAGE(D38:D39)</f>
        <v>1</v>
      </c>
      <c r="E56" s="789">
        <f>AVERAGE(E37:E38)</f>
        <v>1</v>
      </c>
      <c r="F56" s="789">
        <f>AVERAGE(F36:F37)</f>
        <v>1</v>
      </c>
      <c r="G56" s="789">
        <f>AVERAGE(G35:G36)</f>
        <v>1</v>
      </c>
      <c r="H56" s="789">
        <f>AVERAGE(H34:H35)</f>
        <v>1</v>
      </c>
      <c r="I56" s="789">
        <f>AVERAGE(I33:I34)</f>
        <v>1</v>
      </c>
      <c r="J56" s="790">
        <f>AVERAGE(J32:J33)</f>
        <v>1</v>
      </c>
      <c r="K56" s="786"/>
    </row>
    <row r="57" spans="1:11" x14ac:dyDescent="0.45">
      <c r="A57" s="1304" t="s">
        <v>423</v>
      </c>
      <c r="B57" s="1305"/>
      <c r="C57" s="791">
        <f>GEOMEAN(C32:C41)</f>
        <v>1</v>
      </c>
      <c r="D57" s="792">
        <f t="shared" ref="D57:K57" si="7">GEOMEAN(D32:D41)</f>
        <v>1</v>
      </c>
      <c r="E57" s="792">
        <f t="shared" si="7"/>
        <v>1</v>
      </c>
      <c r="F57" s="792">
        <f t="shared" si="7"/>
        <v>1</v>
      </c>
      <c r="G57" s="792">
        <f t="shared" si="7"/>
        <v>1</v>
      </c>
      <c r="H57" s="792">
        <f>GEOMEAN(H32:H41)</f>
        <v>1</v>
      </c>
      <c r="I57" s="792">
        <f t="shared" si="7"/>
        <v>1</v>
      </c>
      <c r="J57" s="792">
        <f t="shared" si="7"/>
        <v>1</v>
      </c>
      <c r="K57" s="793">
        <f t="shared" si="7"/>
        <v>1</v>
      </c>
    </row>
    <row r="59" spans="1:11" x14ac:dyDescent="0.45">
      <c r="C59" s="1173" t="s">
        <v>424</v>
      </c>
      <c r="D59" s="1260"/>
      <c r="E59" s="1260"/>
      <c r="F59" s="1260"/>
      <c r="G59" s="1260"/>
      <c r="H59" s="1260"/>
      <c r="I59" s="1260"/>
      <c r="J59" s="1260"/>
      <c r="K59" s="1174"/>
    </row>
    <row r="60" spans="1:11" x14ac:dyDescent="0.45">
      <c r="C60" s="1295" t="s">
        <v>410</v>
      </c>
      <c r="D60" s="1296"/>
      <c r="E60" s="1296"/>
      <c r="F60" s="1296"/>
      <c r="G60" s="1296"/>
      <c r="H60" s="1296"/>
      <c r="I60" s="1296"/>
      <c r="J60" s="1296"/>
      <c r="K60" s="1297"/>
    </row>
    <row r="61" spans="1:11" x14ac:dyDescent="0.45">
      <c r="C61" s="794" t="str">
        <f>C46</f>
        <v>__-__</v>
      </c>
      <c r="D61" s="795" t="str">
        <f t="shared" ref="D61:K61" si="8">D46</f>
        <v>__-__</v>
      </c>
      <c r="E61" s="795" t="str">
        <f t="shared" si="8"/>
        <v>__-__</v>
      </c>
      <c r="F61" s="795" t="str">
        <f t="shared" si="8"/>
        <v>__-__</v>
      </c>
      <c r="G61" s="795" t="str">
        <f t="shared" si="8"/>
        <v>__-__</v>
      </c>
      <c r="H61" s="795" t="str">
        <f t="shared" si="8"/>
        <v>__-__</v>
      </c>
      <c r="I61" s="795" t="str">
        <f t="shared" si="8"/>
        <v>__-__</v>
      </c>
      <c r="J61" s="795" t="str">
        <f t="shared" si="8"/>
        <v>__-__</v>
      </c>
      <c r="K61" s="796" t="str">
        <f t="shared" si="8"/>
        <v>__-__</v>
      </c>
    </row>
    <row r="62" spans="1:11" x14ac:dyDescent="0.45">
      <c r="B62" s="797" t="s">
        <v>425</v>
      </c>
      <c r="C62" s="798"/>
      <c r="D62" s="799"/>
      <c r="E62" s="799"/>
      <c r="F62" s="799"/>
      <c r="G62" s="799"/>
      <c r="H62" s="799"/>
      <c r="I62" s="799"/>
      <c r="J62" s="799"/>
      <c r="K62" s="800"/>
    </row>
    <row r="63" spans="1:11" x14ac:dyDescent="0.45">
      <c r="B63" s="797" t="s">
        <v>426</v>
      </c>
      <c r="C63" s="801"/>
      <c r="D63" s="802"/>
      <c r="E63" s="802"/>
      <c r="F63" s="802"/>
      <c r="G63" s="802"/>
      <c r="H63" s="802"/>
      <c r="I63" s="802"/>
      <c r="J63" s="802"/>
      <c r="K63" s="802"/>
    </row>
    <row r="64" spans="1:11" x14ac:dyDescent="0.45">
      <c r="B64" s="797"/>
      <c r="C64" s="803"/>
      <c r="D64" s="802"/>
      <c r="E64" s="802"/>
      <c r="F64" s="802"/>
      <c r="G64" s="802"/>
      <c r="H64" s="802"/>
      <c r="I64" s="802"/>
      <c r="J64" s="802"/>
      <c r="K64" s="802"/>
    </row>
    <row r="65" spans="1:11" x14ac:dyDescent="0.45">
      <c r="B65" s="741"/>
      <c r="C65" s="804" t="str">
        <f>TEXT(B12,"#") &amp; TEXT("-Ult","")</f>
        <v>__-Ult</v>
      </c>
      <c r="D65" s="805" t="str">
        <f t="shared" ref="D65:K65" si="9">TEXT(C12,"#") &amp; TEXT("-Ult","")</f>
        <v>__-Ult</v>
      </c>
      <c r="E65" s="805" t="str">
        <f t="shared" si="9"/>
        <v>__-Ult</v>
      </c>
      <c r="F65" s="805" t="str">
        <f t="shared" si="9"/>
        <v>__-Ult</v>
      </c>
      <c r="G65" s="805" t="str">
        <f t="shared" si="9"/>
        <v>__-Ult</v>
      </c>
      <c r="H65" s="805" t="str">
        <f t="shared" si="9"/>
        <v>__-Ult</v>
      </c>
      <c r="I65" s="805" t="str">
        <f t="shared" si="9"/>
        <v>__-Ult</v>
      </c>
      <c r="J65" s="805" t="str">
        <f t="shared" si="9"/>
        <v>__-Ult</v>
      </c>
      <c r="K65" s="806" t="str">
        <f t="shared" si="9"/>
        <v>__-Ult</v>
      </c>
    </row>
    <row r="66" spans="1:11" x14ac:dyDescent="0.45">
      <c r="B66" s="741" t="s">
        <v>427</v>
      </c>
      <c r="C66" s="807">
        <f>IF(C62=0,1,D66*C62)</f>
        <v>1</v>
      </c>
      <c r="D66" s="808">
        <f t="shared" ref="D66:I66" si="10">IF(D62=0,1,E66*D62)</f>
        <v>1</v>
      </c>
      <c r="E66" s="808">
        <f t="shared" si="10"/>
        <v>1</v>
      </c>
      <c r="F66" s="808">
        <f t="shared" si="10"/>
        <v>1</v>
      </c>
      <c r="G66" s="808">
        <f t="shared" si="10"/>
        <v>1</v>
      </c>
      <c r="H66" s="808">
        <f t="shared" si="10"/>
        <v>1</v>
      </c>
      <c r="I66" s="808">
        <f t="shared" si="10"/>
        <v>1</v>
      </c>
      <c r="J66" s="808">
        <f>IF(J62=0,1,K66*J62)</f>
        <v>1</v>
      </c>
      <c r="K66" s="809">
        <f>IF(K62=0,1,IF(C63=0,K62,K62*C63))</f>
        <v>1</v>
      </c>
    </row>
    <row r="68" spans="1:11" x14ac:dyDescent="0.45">
      <c r="A68" s="1186" t="s">
        <v>428</v>
      </c>
      <c r="B68" s="1187"/>
      <c r="C68" s="1187"/>
      <c r="D68" s="1187"/>
      <c r="E68" s="1187"/>
      <c r="F68" s="1187"/>
      <c r="G68" s="1187"/>
      <c r="H68" s="1187"/>
      <c r="I68" s="1187"/>
      <c r="J68" s="1187"/>
      <c r="K68" s="1188"/>
    </row>
    <row r="69" spans="1:11" x14ac:dyDescent="0.45">
      <c r="A69" s="1189"/>
      <c r="B69" s="1190"/>
      <c r="C69" s="1190"/>
      <c r="D69" s="1190"/>
      <c r="E69" s="1190"/>
      <c r="F69" s="1190"/>
      <c r="G69" s="1190"/>
      <c r="H69" s="1190"/>
      <c r="I69" s="1190"/>
      <c r="J69" s="1190"/>
      <c r="K69" s="1191"/>
    </row>
    <row r="70" spans="1:11" x14ac:dyDescent="0.45">
      <c r="A70" s="1251"/>
      <c r="B70" s="1252"/>
      <c r="C70" s="1252"/>
      <c r="D70" s="1252"/>
      <c r="E70" s="1252"/>
      <c r="F70" s="1252"/>
      <c r="G70" s="1252"/>
      <c r="H70" s="1252"/>
      <c r="I70" s="1252"/>
      <c r="J70" s="1252"/>
      <c r="K70" s="1253"/>
    </row>
    <row r="71" spans="1:11" x14ac:dyDescent="0.45">
      <c r="A71" s="1180"/>
      <c r="B71" s="1181"/>
      <c r="C71" s="1181"/>
      <c r="D71" s="1181"/>
      <c r="E71" s="1181"/>
      <c r="F71" s="1181"/>
      <c r="G71" s="1181"/>
      <c r="H71" s="1181"/>
      <c r="I71" s="1181"/>
      <c r="J71" s="1181"/>
      <c r="K71" s="1182"/>
    </row>
    <row r="72" spans="1:11" x14ac:dyDescent="0.45">
      <c r="A72" s="1180"/>
      <c r="B72" s="1181"/>
      <c r="C72" s="1181"/>
      <c r="D72" s="1181"/>
      <c r="E72" s="1181"/>
      <c r="F72" s="1181"/>
      <c r="G72" s="1181"/>
      <c r="H72" s="1181"/>
      <c r="I72" s="1181"/>
      <c r="J72" s="1181"/>
      <c r="K72" s="1182"/>
    </row>
    <row r="73" spans="1:11" x14ac:dyDescent="0.45">
      <c r="A73" s="1183"/>
      <c r="B73" s="1184"/>
      <c r="C73" s="1184"/>
      <c r="D73" s="1184"/>
      <c r="E73" s="1184"/>
      <c r="F73" s="1184"/>
      <c r="G73" s="1184"/>
      <c r="H73" s="1184"/>
      <c r="I73" s="1184"/>
      <c r="J73" s="1184"/>
      <c r="K73" s="1185"/>
    </row>
    <row r="74" spans="1:11" x14ac:dyDescent="0.45">
      <c r="A74" s="765"/>
      <c r="B74" s="765"/>
      <c r="C74" s="765"/>
      <c r="D74" s="765"/>
      <c r="E74" s="765"/>
      <c r="F74" s="765"/>
      <c r="G74" s="765"/>
      <c r="H74" s="765"/>
      <c r="I74" s="765"/>
      <c r="J74" s="765"/>
      <c r="K74" s="765"/>
    </row>
    <row r="75" spans="1:11" x14ac:dyDescent="0.45">
      <c r="A75" s="766"/>
      <c r="B75" s="766"/>
      <c r="C75" s="766"/>
      <c r="D75" s="766"/>
      <c r="E75" s="766"/>
      <c r="F75" s="766"/>
      <c r="G75" s="766"/>
      <c r="H75" s="766"/>
      <c r="I75" s="766"/>
      <c r="J75" s="766"/>
      <c r="K75" s="766"/>
    </row>
    <row r="76" spans="1:11" x14ac:dyDescent="0.45">
      <c r="A76" s="766"/>
      <c r="B76" s="766"/>
      <c r="C76" s="766"/>
      <c r="D76" s="766"/>
      <c r="E76" s="766"/>
      <c r="F76" s="766"/>
      <c r="G76" s="766"/>
      <c r="H76" s="766"/>
      <c r="I76" s="766"/>
      <c r="J76" s="766"/>
      <c r="K76" s="766"/>
    </row>
    <row r="77" spans="1:11" x14ac:dyDescent="0.45">
      <c r="A77" s="766"/>
      <c r="B77" s="766"/>
      <c r="C77" s="766"/>
      <c r="D77" s="766"/>
      <c r="E77" s="766"/>
      <c r="F77" s="766"/>
      <c r="G77" s="766"/>
      <c r="H77" s="766"/>
      <c r="I77" s="766"/>
      <c r="J77" s="766"/>
      <c r="K77" s="766"/>
    </row>
    <row r="78" spans="1:11" x14ac:dyDescent="0.45">
      <c r="F78" s="273" t="s">
        <v>429</v>
      </c>
    </row>
  </sheetData>
  <sheetProtection sheet="1" objects="1" scenarios="1"/>
  <mergeCells count="38">
    <mergeCell ref="A24:K25"/>
    <mergeCell ref="A48:B48"/>
    <mergeCell ref="A49:B49"/>
    <mergeCell ref="A57:B57"/>
    <mergeCell ref="A8:C8"/>
    <mergeCell ref="A47:B47"/>
    <mergeCell ref="A26:K27"/>
    <mergeCell ref="A11:A12"/>
    <mergeCell ref="B11:K11"/>
    <mergeCell ref="A30:B31"/>
    <mergeCell ref="C30:K30"/>
    <mergeCell ref="A45:B46"/>
    <mergeCell ref="C45:K45"/>
    <mergeCell ref="A39:B39"/>
    <mergeCell ref="A34:B34"/>
    <mergeCell ref="A33:B33"/>
    <mergeCell ref="A50:B50"/>
    <mergeCell ref="C59:K59"/>
    <mergeCell ref="A68:K69"/>
    <mergeCell ref="A52:B52"/>
    <mergeCell ref="A51:B51"/>
    <mergeCell ref="C60:K60"/>
    <mergeCell ref="A5:K5"/>
    <mergeCell ref="A70:K73"/>
    <mergeCell ref="B10:K10"/>
    <mergeCell ref="C44:K44"/>
    <mergeCell ref="C29:K29"/>
    <mergeCell ref="A56:B56"/>
    <mergeCell ref="A55:B55"/>
    <mergeCell ref="A41:B41"/>
    <mergeCell ref="A40:B40"/>
    <mergeCell ref="A32:B32"/>
    <mergeCell ref="A38:B38"/>
    <mergeCell ref="A37:B37"/>
    <mergeCell ref="A36:B36"/>
    <mergeCell ref="A54:B54"/>
    <mergeCell ref="A53:B53"/>
    <mergeCell ref="A35:B35"/>
  </mergeCells>
  <conditionalFormatting sqref="A26 A70">
    <cfRule type="expression" dxfId="109" priority="186">
      <formula>AND($A26="",NOT($J$5=3))</formula>
    </cfRule>
  </conditionalFormatting>
  <conditionalFormatting sqref="A8:E8">
    <cfRule type="expression" dxfId="108" priority="3">
      <formula>$J$5=3</formula>
    </cfRule>
  </conditionalFormatting>
  <conditionalFormatting sqref="C63">
    <cfRule type="expression" dxfId="107" priority="188">
      <formula>AND($C$63="",NOT($J$5=3))</formula>
    </cfRule>
  </conditionalFormatting>
  <conditionalFormatting sqref="C47:K57">
    <cfRule type="expression" dxfId="106" priority="4">
      <formula>ROUND(C47,3)=ROUND(C$62,3)</formula>
    </cfRule>
  </conditionalFormatting>
  <conditionalFormatting sqref="C62:K62">
    <cfRule type="expression" dxfId="105" priority="189">
      <formula>AND(C$62="",NOT($J$5=3))</formula>
    </cfRule>
  </conditionalFormatting>
  <conditionalFormatting sqref="D8">
    <cfRule type="expression" dxfId="104" priority="190">
      <formula>AND($D$8="",NOT($J$5=3))</formula>
    </cfRule>
  </conditionalFormatting>
  <conditionalFormatting sqref="J2:J3">
    <cfRule type="cellIs" dxfId="103" priority="1" operator="equal">
      <formula>""</formula>
    </cfRule>
  </conditionalFormatting>
  <conditionalFormatting sqref="K13 J13:J14 I13:I15 H13:H16 G13:G17 F13:F18 E13:E19 D13:D20 C13:C21 B13:B22">
    <cfRule type="containsBlanks" dxfId="102" priority="2">
      <formula>LEN(TRIM(B13))=0</formula>
    </cfRule>
    <cfRule type="expression" dxfId="101" priority="10">
      <formula>AND(B13="",OR($J$5="Accident Year Losses",$J$5="Select"))</formula>
    </cfRule>
  </conditionalFormatting>
  <dataValidations count="1">
    <dataValidation type="list" allowBlank="1" showInputMessage="1" showErrorMessage="1" sqref="D8" xr:uid="{00000000-0002-0000-0C00-000000000000}">
      <formula1>$M$8:$M$10</formula1>
    </dataValidation>
  </dataValidations>
  <printOptions horizontalCentered="1"/>
  <pageMargins left="0.25" right="0.25" top="0.75" bottom="0.75" header="0.3" footer="0.3"/>
  <pageSetup scale="80" orientation="portrait" r:id="rId1"/>
  <rowBreaks count="2" manualBreakCount="2">
    <brk id="42" max="10" man="1"/>
    <brk id="74" max="10"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03508-7A82-489F-BA79-A0181C78B632}">
  <sheetPr codeName="Sheet28"/>
  <dimension ref="A1:J87"/>
  <sheetViews>
    <sheetView zoomScaleNormal="100" zoomScaleSheetLayoutView="100" workbookViewId="0"/>
  </sheetViews>
  <sheetFormatPr defaultColWidth="9.109375" defaultRowHeight="19.2" x14ac:dyDescent="0.45"/>
  <cols>
    <col min="1" max="1" width="4.6640625" style="257" customWidth="1"/>
    <col min="2" max="2" width="22.33203125" style="257" customWidth="1"/>
    <col min="3" max="5" width="20.6640625" style="257" customWidth="1"/>
    <col min="6" max="6" width="13.6640625" style="257" customWidth="1"/>
    <col min="7" max="7" width="8.88671875" style="257" customWidth="1"/>
    <col min="8" max="8" width="8.88671875" style="257" hidden="1" customWidth="1"/>
    <col min="9" max="10" width="8.88671875" style="257" customWidth="1"/>
    <col min="11" max="16384" width="9.109375" style="257"/>
  </cols>
  <sheetData>
    <row r="1" spans="1:6" s="268" customFormat="1" x14ac:dyDescent="0.45">
      <c r="A1" s="1055" t="str">
        <f>'General Information'!$A$1</f>
        <v>Texas Department of Insurance</v>
      </c>
      <c r="C1" s="373"/>
    </row>
    <row r="2" spans="1:6" s="268" customFormat="1" x14ac:dyDescent="0.45">
      <c r="A2" s="1055" t="str">
        <f>'General Information'!$A$2</f>
        <v>Property and Casualty Rate Filing Exhibits</v>
      </c>
      <c r="C2" s="373"/>
      <c r="D2" s="160" t="s">
        <v>97</v>
      </c>
      <c r="E2" s="1018" t="str">
        <f>'General Information'!$E$2</f>
        <v>Fill out Gen Info</v>
      </c>
    </row>
    <row r="3" spans="1:6" s="268" customFormat="1" x14ac:dyDescent="0.45">
      <c r="A3" s="1055" t="str">
        <f>'General Information'!$A$3</f>
        <v>Rate Filing Template (2025 Edition)</v>
      </c>
      <c r="B3" s="289"/>
      <c r="C3" s="289"/>
      <c r="D3" s="160" t="s">
        <v>98</v>
      </c>
      <c r="E3" s="1018" t="str">
        <f>'General Information'!$E$3</f>
        <v>Fill out Gen Info</v>
      </c>
    </row>
    <row r="4" spans="1:6" s="268" customFormat="1" x14ac:dyDescent="0.3"/>
    <row r="5" spans="1:6" x14ac:dyDescent="0.45">
      <c r="A5" s="1221" t="s">
        <v>430</v>
      </c>
      <c r="B5" s="1199"/>
      <c r="C5" s="1199"/>
      <c r="D5" s="1199"/>
      <c r="E5" s="1199"/>
    </row>
    <row r="7" spans="1:6" x14ac:dyDescent="0.45">
      <c r="B7" s="370" t="s">
        <v>431</v>
      </c>
    </row>
    <row r="9" spans="1:6" x14ac:dyDescent="0.45">
      <c r="C9" s="550">
        <v>-1</v>
      </c>
      <c r="D9" s="550">
        <f>C9-1</f>
        <v>-2</v>
      </c>
      <c r="E9" s="550">
        <f>D9-1</f>
        <v>-3</v>
      </c>
    </row>
    <row r="10" spans="1:6" ht="57.6" x14ac:dyDescent="0.45">
      <c r="B10" s="1022" t="s">
        <v>22</v>
      </c>
      <c r="C10" s="1020" t="str">
        <f>IF('General Information'!B18='Drop Down Lists and Formatting'!A40,"Incurred Non-Cat Losses","Incurred Non-Cat Losses &amp; DCCE")</f>
        <v>Incurred Non-Cat Losses &amp; DCCE</v>
      </c>
      <c r="D10" s="1019" t="str">
        <f>IF('General Information'!B18='Drop Down Lists and Formatting'!A40,"Incurred Non-Cat Capped Losses","Incurred Capped Non-Cat Losses &amp; DCCE")</f>
        <v>Incurred Capped Non-Cat Losses &amp; DCCE</v>
      </c>
      <c r="E10" s="1022" t="s">
        <v>432</v>
      </c>
      <c r="F10" s="371"/>
    </row>
    <row r="11" spans="1:6" x14ac:dyDescent="0.45">
      <c r="B11" s="810" t="str">
        <f>IF('General Information'!$B$20="","20__",B12-1)</f>
        <v>20__</v>
      </c>
      <c r="C11" s="814"/>
      <c r="D11" s="815"/>
      <c r="E11" s="816">
        <f t="shared" ref="E11:E31" si="0">IFERROR(C11/D11-1,0)</f>
        <v>0</v>
      </c>
    </row>
    <row r="12" spans="1:6" x14ac:dyDescent="0.45">
      <c r="B12" s="811" t="str">
        <f>IF('General Information'!$B$20="","20__",B13-1)</f>
        <v>20__</v>
      </c>
      <c r="C12" s="812"/>
      <c r="D12" s="813"/>
      <c r="E12" s="621">
        <f t="shared" si="0"/>
        <v>0</v>
      </c>
    </row>
    <row r="13" spans="1:6" x14ac:dyDescent="0.45">
      <c r="B13" s="810" t="str">
        <f>IF('General Information'!$B$20="","20__",B14-1)</f>
        <v>20__</v>
      </c>
      <c r="C13" s="814"/>
      <c r="D13" s="815"/>
      <c r="E13" s="816">
        <f t="shared" si="0"/>
        <v>0</v>
      </c>
    </row>
    <row r="14" spans="1:6" x14ac:dyDescent="0.45">
      <c r="B14" s="811" t="str">
        <f>IF('General Information'!$B$20="","20__",B15-1)</f>
        <v>20__</v>
      </c>
      <c r="C14" s="812"/>
      <c r="D14" s="813"/>
      <c r="E14" s="621">
        <f t="shared" si="0"/>
        <v>0</v>
      </c>
    </row>
    <row r="15" spans="1:6" x14ac:dyDescent="0.45">
      <c r="B15" s="810" t="str">
        <f>IF('General Information'!$B$20="","20__",B16-1)</f>
        <v>20__</v>
      </c>
      <c r="C15" s="814"/>
      <c r="D15" s="815"/>
      <c r="E15" s="816">
        <f t="shared" si="0"/>
        <v>0</v>
      </c>
    </row>
    <row r="16" spans="1:6" x14ac:dyDescent="0.45">
      <c r="B16" s="811" t="str">
        <f>IF('General Information'!$B$20="","20__",B17-1)</f>
        <v>20__</v>
      </c>
      <c r="C16" s="812"/>
      <c r="D16" s="813"/>
      <c r="E16" s="621">
        <f t="shared" si="0"/>
        <v>0</v>
      </c>
    </row>
    <row r="17" spans="2:5" x14ac:dyDescent="0.45">
      <c r="B17" s="810" t="str">
        <f>IF('General Information'!$B$20="","20__",B18-1)</f>
        <v>20__</v>
      </c>
      <c r="C17" s="814"/>
      <c r="D17" s="815"/>
      <c r="E17" s="816">
        <f t="shared" si="0"/>
        <v>0</v>
      </c>
    </row>
    <row r="18" spans="2:5" x14ac:dyDescent="0.45">
      <c r="B18" s="811" t="str">
        <f>IF('General Information'!$B$20="","20__",B19-1)</f>
        <v>20__</v>
      </c>
      <c r="C18" s="812"/>
      <c r="D18" s="813"/>
      <c r="E18" s="621">
        <f t="shared" si="0"/>
        <v>0</v>
      </c>
    </row>
    <row r="19" spans="2:5" x14ac:dyDescent="0.45">
      <c r="B19" s="810" t="str">
        <f>IF('General Information'!$B$20="","20__",B20-1)</f>
        <v>20__</v>
      </c>
      <c r="C19" s="814"/>
      <c r="D19" s="815"/>
      <c r="E19" s="816">
        <f t="shared" si="0"/>
        <v>0</v>
      </c>
    </row>
    <row r="20" spans="2:5" x14ac:dyDescent="0.45">
      <c r="B20" s="811" t="str">
        <f>IF('General Information'!$B$20="","20__",B21-1)</f>
        <v>20__</v>
      </c>
      <c r="C20" s="812"/>
      <c r="D20" s="813"/>
      <c r="E20" s="621">
        <f t="shared" si="0"/>
        <v>0</v>
      </c>
    </row>
    <row r="21" spans="2:5" x14ac:dyDescent="0.45">
      <c r="B21" s="810" t="str">
        <f>IF('General Information'!$B$20="","20__",B22-1)</f>
        <v>20__</v>
      </c>
      <c r="C21" s="814"/>
      <c r="D21" s="815"/>
      <c r="E21" s="816">
        <f t="shared" si="0"/>
        <v>0</v>
      </c>
    </row>
    <row r="22" spans="2:5" x14ac:dyDescent="0.45">
      <c r="B22" s="811" t="str">
        <f>IF('General Information'!$B$20="","20__",B23-1)</f>
        <v>20__</v>
      </c>
      <c r="C22" s="812"/>
      <c r="D22" s="813"/>
      <c r="E22" s="621">
        <f t="shared" si="0"/>
        <v>0</v>
      </c>
    </row>
    <row r="23" spans="2:5" x14ac:dyDescent="0.45">
      <c r="B23" s="810" t="str">
        <f>IF('General Information'!$B$20="","20__",B24-1)</f>
        <v>20__</v>
      </c>
      <c r="C23" s="814"/>
      <c r="D23" s="815"/>
      <c r="E23" s="816">
        <f t="shared" si="0"/>
        <v>0</v>
      </c>
    </row>
    <row r="24" spans="2:5" x14ac:dyDescent="0.45">
      <c r="B24" s="811" t="str">
        <f>IF('General Information'!$B$20="","20__",B25-1)</f>
        <v>20__</v>
      </c>
      <c r="C24" s="812"/>
      <c r="D24" s="813"/>
      <c r="E24" s="621">
        <f t="shared" si="0"/>
        <v>0</v>
      </c>
    </row>
    <row r="25" spans="2:5" x14ac:dyDescent="0.45">
      <c r="B25" s="810" t="str">
        <f>IF('General Information'!$B$20="","20__",B26-1)</f>
        <v>20__</v>
      </c>
      <c r="C25" s="814"/>
      <c r="D25" s="815"/>
      <c r="E25" s="816">
        <f t="shared" si="0"/>
        <v>0</v>
      </c>
    </row>
    <row r="26" spans="2:5" x14ac:dyDescent="0.45">
      <c r="B26" s="811" t="str">
        <f>IF('General Information'!$B$20="","20__",B27-1)</f>
        <v>20__</v>
      </c>
      <c r="C26" s="812"/>
      <c r="D26" s="813"/>
      <c r="E26" s="621">
        <f t="shared" si="0"/>
        <v>0</v>
      </c>
    </row>
    <row r="27" spans="2:5" x14ac:dyDescent="0.45">
      <c r="B27" s="810" t="str">
        <f>IF('General Information'!$B$20="","20__",B28-1)</f>
        <v>20__</v>
      </c>
      <c r="C27" s="814"/>
      <c r="D27" s="815"/>
      <c r="E27" s="816">
        <f t="shared" si="0"/>
        <v>0</v>
      </c>
    </row>
    <row r="28" spans="2:5" x14ac:dyDescent="0.45">
      <c r="B28" s="811" t="str">
        <f>IF('General Information'!$B$20="","20__",B29-1)</f>
        <v>20__</v>
      </c>
      <c r="C28" s="812"/>
      <c r="D28" s="813"/>
      <c r="E28" s="621">
        <f t="shared" si="0"/>
        <v>0</v>
      </c>
    </row>
    <row r="29" spans="2:5" x14ac:dyDescent="0.45">
      <c r="B29" s="810" t="str">
        <f>IF('General Information'!$B$20="","20__",B30-1)</f>
        <v>20__</v>
      </c>
      <c r="C29" s="814"/>
      <c r="D29" s="815"/>
      <c r="E29" s="816">
        <f t="shared" si="0"/>
        <v>0</v>
      </c>
    </row>
    <row r="30" spans="2:5" x14ac:dyDescent="0.45">
      <c r="B30" s="817" t="str">
        <f>IF('General Information'!B20="","20__",IF(MONTH('General Information'!B20)&gt;8,YEAR('General Information'!B20),YEAR('General Information'!B20)-1))</f>
        <v>20__</v>
      </c>
      <c r="C30" s="818"/>
      <c r="D30" s="819"/>
      <c r="E30" s="820">
        <f t="shared" si="0"/>
        <v>0</v>
      </c>
    </row>
    <row r="31" spans="2:5" x14ac:dyDescent="0.45">
      <c r="B31" s="575" t="s">
        <v>293</v>
      </c>
      <c r="C31" s="821">
        <f>SUM(C11:C30)</f>
        <v>0</v>
      </c>
      <c r="D31" s="822">
        <f>SUM(D11:D30)</f>
        <v>0</v>
      </c>
      <c r="E31" s="823">
        <f t="shared" si="0"/>
        <v>0</v>
      </c>
    </row>
    <row r="33" spans="1:6" x14ac:dyDescent="0.45">
      <c r="B33" s="1080" t="s">
        <v>379</v>
      </c>
      <c r="C33" s="1080" t="s">
        <v>433</v>
      </c>
      <c r="D33" s="1080" t="s">
        <v>434</v>
      </c>
    </row>
    <row r="34" spans="1:6" x14ac:dyDescent="0.45">
      <c r="B34" s="731" t="s">
        <v>435</v>
      </c>
      <c r="C34" s="824" t="str">
        <f>IF(C11="","N/A",IFERROR(SUM(C11:C30)/SUM(D11:D30)-1,0))</f>
        <v>N/A</v>
      </c>
      <c r="D34" s="825" t="str">
        <f>IF(C11="","N/A",IFERROR(AVERAGE(E11:E30),0))</f>
        <v>N/A</v>
      </c>
      <c r="F34" s="568"/>
    </row>
    <row r="35" spans="1:6" x14ac:dyDescent="0.45">
      <c r="B35" s="731" t="s">
        <v>436</v>
      </c>
      <c r="C35" s="824" t="str">
        <f>IF(C21="","N/A",IFERROR(SUM(C21:C30)/SUM(D21:D30)-1,0))</f>
        <v>N/A</v>
      </c>
      <c r="D35" s="825" t="str">
        <f>IF(C21="","N/A",IFERROR(AVERAGE(E21:E30),0))</f>
        <v>N/A</v>
      </c>
      <c r="F35" s="568"/>
    </row>
    <row r="36" spans="1:6" x14ac:dyDescent="0.45">
      <c r="B36" s="638" t="s">
        <v>40</v>
      </c>
      <c r="C36" s="826" t="str">
        <f ca="1">IFERROR((SUM(OFFSET(C$31,-$B$36,0,$B$36,1)))/(SUM(OFFSET(D$31,-$B$36,0,$B$36,1)))-1,"N/A")</f>
        <v>N/A</v>
      </c>
      <c r="D36" s="827" t="str">
        <f ca="1">IFERROR((AVERAGE(OFFSET(E$31,-$B$36,0,$B$36,1))),"N/A")</f>
        <v>N/A</v>
      </c>
      <c r="F36" s="568"/>
    </row>
    <row r="37" spans="1:6" x14ac:dyDescent="0.45">
      <c r="C37" s="307"/>
      <c r="D37" s="273"/>
      <c r="E37" s="568"/>
    </row>
    <row r="38" spans="1:6" x14ac:dyDescent="0.45">
      <c r="A38" s="828">
        <f>E9-1</f>
        <v>-4</v>
      </c>
      <c r="B38" s="1338" t="s">
        <v>437</v>
      </c>
      <c r="C38" s="1338"/>
      <c r="D38" s="1338"/>
      <c r="E38" s="1338"/>
    </row>
    <row r="39" spans="1:6" x14ac:dyDescent="0.45">
      <c r="B39" s="1339"/>
      <c r="C39" s="1339"/>
      <c r="D39" s="1339"/>
      <c r="E39" s="1339"/>
    </row>
    <row r="40" spans="1:6" x14ac:dyDescent="0.45">
      <c r="B40" s="1340"/>
      <c r="C40" s="1340"/>
      <c r="D40" s="1340"/>
      <c r="E40" s="1340"/>
    </row>
    <row r="41" spans="1:6" x14ac:dyDescent="0.45">
      <c r="B41" s="1341"/>
      <c r="C41" s="1341"/>
      <c r="D41" s="1341"/>
      <c r="E41" s="1341"/>
    </row>
    <row r="42" spans="1:6" x14ac:dyDescent="0.45">
      <c r="B42" s="1341"/>
      <c r="C42" s="1341"/>
      <c r="D42" s="1341"/>
      <c r="E42" s="1341"/>
    </row>
    <row r="45" spans="1:6" x14ac:dyDescent="0.45">
      <c r="B45" s="370" t="s">
        <v>438</v>
      </c>
    </row>
    <row r="47" spans="1:6" x14ac:dyDescent="0.45">
      <c r="A47" s="828">
        <f>A38-1</f>
        <v>-5</v>
      </c>
      <c r="B47" s="1336" t="s">
        <v>439</v>
      </c>
      <c r="C47" s="1337"/>
      <c r="D47" s="1337"/>
      <c r="E47" s="829"/>
    </row>
    <row r="48" spans="1:6" x14ac:dyDescent="0.45">
      <c r="B48" s="1327" t="s">
        <v>440</v>
      </c>
      <c r="C48" s="1328"/>
      <c r="D48" s="1328"/>
      <c r="E48" s="1329"/>
    </row>
    <row r="50" spans="1:10" x14ac:dyDescent="0.45">
      <c r="A50" s="840">
        <f>A47-1</f>
        <v>-6</v>
      </c>
      <c r="B50" s="1330" t="s">
        <v>441</v>
      </c>
      <c r="C50" s="1331"/>
      <c r="D50" s="1331"/>
      <c r="E50" s="1332"/>
      <c r="F50" s="371"/>
    </row>
    <row r="51" spans="1:10" ht="38.4" customHeight="1" x14ac:dyDescent="0.45">
      <c r="B51" s="1333"/>
      <c r="C51" s="1334"/>
      <c r="D51" s="1334"/>
      <c r="E51" s="1335"/>
      <c r="F51" s="371"/>
    </row>
    <row r="52" spans="1:10" x14ac:dyDescent="0.45">
      <c r="B52" s="1251"/>
      <c r="C52" s="1252"/>
      <c r="D52" s="1252"/>
      <c r="E52" s="1253"/>
      <c r="F52" s="830"/>
    </row>
    <row r="53" spans="1:10" x14ac:dyDescent="0.45">
      <c r="B53" s="1180"/>
      <c r="C53" s="1181"/>
      <c r="D53" s="1181"/>
      <c r="E53" s="1182"/>
      <c r="F53" s="830"/>
    </row>
    <row r="54" spans="1:10" x14ac:dyDescent="0.45">
      <c r="B54" s="1180"/>
      <c r="C54" s="1181"/>
      <c r="D54" s="1181"/>
      <c r="E54" s="1182"/>
      <c r="F54" s="830"/>
    </row>
    <row r="55" spans="1:10" x14ac:dyDescent="0.45">
      <c r="B55" s="1180"/>
      <c r="C55" s="1181"/>
      <c r="D55" s="1181"/>
      <c r="E55" s="1182"/>
      <c r="F55" s="830"/>
    </row>
    <row r="56" spans="1:10" x14ac:dyDescent="0.45">
      <c r="B56" s="1183"/>
      <c r="C56" s="1184"/>
      <c r="D56" s="1184"/>
      <c r="E56" s="1185"/>
      <c r="F56" s="830"/>
    </row>
    <row r="59" spans="1:10" ht="38.4" customHeight="1" x14ac:dyDescent="0.45">
      <c r="A59" s="839">
        <f>A50-1</f>
        <v>-7</v>
      </c>
      <c r="B59" s="1177" t="s">
        <v>442</v>
      </c>
      <c r="C59" s="1178"/>
      <c r="D59" s="1178"/>
      <c r="E59" s="1179"/>
      <c r="F59" s="1085"/>
      <c r="H59" s="1103" t="s">
        <v>35</v>
      </c>
      <c r="I59" s="1103"/>
      <c r="J59" s="1103"/>
    </row>
    <row r="60" spans="1:10" x14ac:dyDescent="0.45">
      <c r="B60" s="831" t="s">
        <v>35</v>
      </c>
      <c r="C60" s="832"/>
      <c r="D60" s="832"/>
      <c r="E60" s="833"/>
      <c r="F60" s="1085"/>
      <c r="H60" s="1103" t="s">
        <v>27</v>
      </c>
    </row>
    <row r="61" spans="1:10" x14ac:dyDescent="0.45">
      <c r="B61" s="1106" t="s">
        <v>443</v>
      </c>
      <c r="C61" s="1107"/>
      <c r="D61" s="1107"/>
      <c r="E61" s="1108"/>
      <c r="H61" s="1103" t="s">
        <v>28</v>
      </c>
    </row>
    <row r="62" spans="1:10" x14ac:dyDescent="0.45">
      <c r="B62" s="1251"/>
      <c r="C62" s="1252"/>
      <c r="D62" s="1252"/>
      <c r="E62" s="1253"/>
      <c r="F62" s="830"/>
    </row>
    <row r="63" spans="1:10" x14ac:dyDescent="0.45">
      <c r="B63" s="1180"/>
      <c r="C63" s="1181"/>
      <c r="D63" s="1181"/>
      <c r="E63" s="1182"/>
      <c r="F63" s="830"/>
    </row>
    <row r="64" spans="1:10" x14ac:dyDescent="0.45">
      <c r="B64" s="1180"/>
      <c r="C64" s="1181"/>
      <c r="D64" s="1181"/>
      <c r="E64" s="1182"/>
      <c r="F64" s="830"/>
    </row>
    <row r="65" spans="1:10" x14ac:dyDescent="0.45">
      <c r="B65" s="1180"/>
      <c r="C65" s="1181"/>
      <c r="D65" s="1181"/>
      <c r="E65" s="1182"/>
      <c r="F65" s="830"/>
    </row>
    <row r="66" spans="1:10" x14ac:dyDescent="0.45">
      <c r="B66" s="1183"/>
      <c r="C66" s="1184"/>
      <c r="D66" s="1184"/>
      <c r="E66" s="1185"/>
      <c r="F66" s="830"/>
    </row>
    <row r="68" spans="1:10" x14ac:dyDescent="0.45">
      <c r="A68" s="307">
        <f>A59-1</f>
        <v>-8</v>
      </c>
      <c r="B68" s="1298" t="s">
        <v>444</v>
      </c>
      <c r="C68" s="1299"/>
      <c r="D68" s="1299"/>
      <c r="E68" s="1300"/>
    </row>
    <row r="69" spans="1:10" x14ac:dyDescent="0.45">
      <c r="B69" s="1333" t="s">
        <v>445</v>
      </c>
      <c r="C69" s="1334"/>
      <c r="D69" s="1334"/>
      <c r="E69" s="1335"/>
    </row>
    <row r="70" spans="1:10" x14ac:dyDescent="0.45">
      <c r="B70" s="834" t="s">
        <v>38</v>
      </c>
      <c r="C70" s="835"/>
      <c r="D70" s="836"/>
      <c r="E70" s="837"/>
    </row>
    <row r="73" spans="1:10" x14ac:dyDescent="0.45">
      <c r="A73" s="307">
        <f>A68-1</f>
        <v>-9</v>
      </c>
      <c r="B73" s="1177" t="s">
        <v>446</v>
      </c>
      <c r="C73" s="1178"/>
      <c r="D73" s="1178"/>
      <c r="E73" s="1179"/>
      <c r="F73" s="1085"/>
    </row>
    <row r="74" spans="1:10" x14ac:dyDescent="0.45">
      <c r="B74" s="831" t="s">
        <v>35</v>
      </c>
      <c r="C74" s="832"/>
      <c r="D74" s="832"/>
      <c r="E74" s="833"/>
      <c r="F74" s="1085"/>
    </row>
    <row r="75" spans="1:10" x14ac:dyDescent="0.45">
      <c r="B75" s="1324" t="s">
        <v>443</v>
      </c>
      <c r="C75" s="1325"/>
      <c r="D75" s="1325"/>
      <c r="E75" s="1326"/>
      <c r="I75" s="1103"/>
      <c r="J75" s="1103"/>
    </row>
    <row r="76" spans="1:10" x14ac:dyDescent="0.45">
      <c r="B76" s="1251"/>
      <c r="C76" s="1252"/>
      <c r="D76" s="1252"/>
      <c r="E76" s="1253"/>
      <c r="F76" s="830"/>
    </row>
    <row r="77" spans="1:10" x14ac:dyDescent="0.45">
      <c r="B77" s="1180"/>
      <c r="C77" s="1181"/>
      <c r="D77" s="1181"/>
      <c r="E77" s="1182"/>
      <c r="F77" s="830"/>
    </row>
    <row r="78" spans="1:10" x14ac:dyDescent="0.45">
      <c r="B78" s="1180"/>
      <c r="C78" s="1181"/>
      <c r="D78" s="1181"/>
      <c r="E78" s="1182"/>
      <c r="F78" s="830"/>
    </row>
    <row r="79" spans="1:10" x14ac:dyDescent="0.45">
      <c r="B79" s="1180"/>
      <c r="C79" s="1181"/>
      <c r="D79" s="1181"/>
      <c r="E79" s="1182"/>
      <c r="F79" s="830"/>
    </row>
    <row r="80" spans="1:10" x14ac:dyDescent="0.45">
      <c r="B80" s="1183"/>
      <c r="C80" s="1184"/>
      <c r="D80" s="1184"/>
      <c r="E80" s="1185"/>
      <c r="F80" s="830"/>
    </row>
    <row r="82" spans="1:3" x14ac:dyDescent="0.45">
      <c r="A82" s="838">
        <f>C9</f>
        <v>-1</v>
      </c>
      <c r="B82" s="370" t="s">
        <v>266</v>
      </c>
    </row>
    <row r="83" spans="1:3" x14ac:dyDescent="0.45">
      <c r="A83" s="838">
        <f>D9</f>
        <v>-2</v>
      </c>
      <c r="B83" s="370" t="s">
        <v>266</v>
      </c>
    </row>
    <row r="84" spans="1:3" x14ac:dyDescent="0.45">
      <c r="A84" s="838">
        <f>E9</f>
        <v>-3</v>
      </c>
      <c r="B84" s="372" t="s">
        <v>447</v>
      </c>
    </row>
    <row r="87" spans="1:3" x14ac:dyDescent="0.45">
      <c r="C87" s="370"/>
    </row>
  </sheetData>
  <sheetProtection sheet="1" objects="1" scenarios="1"/>
  <mergeCells count="14">
    <mergeCell ref="A5:E5"/>
    <mergeCell ref="B73:E73"/>
    <mergeCell ref="B75:E75"/>
    <mergeCell ref="B76:E80"/>
    <mergeCell ref="B48:E48"/>
    <mergeCell ref="B50:E51"/>
    <mergeCell ref="B52:E56"/>
    <mergeCell ref="B59:E59"/>
    <mergeCell ref="B68:E68"/>
    <mergeCell ref="B69:E69"/>
    <mergeCell ref="B47:D47"/>
    <mergeCell ref="B38:E39"/>
    <mergeCell ref="B40:E42"/>
    <mergeCell ref="B62:E66"/>
  </mergeCells>
  <conditionalFormatting sqref="B36">
    <cfRule type="expression" dxfId="100" priority="2">
      <formula>OR($B$36="Select n-year average",ISBLANK($B$36))</formula>
    </cfRule>
  </conditionalFormatting>
  <conditionalFormatting sqref="B52">
    <cfRule type="expression" dxfId="99" priority="9">
      <formula>$B$52=""</formula>
    </cfRule>
  </conditionalFormatting>
  <conditionalFormatting sqref="B61">
    <cfRule type="expression" dxfId="98" priority="13">
      <formula>$B$60=$H$60</formula>
    </cfRule>
  </conditionalFormatting>
  <conditionalFormatting sqref="B62">
    <cfRule type="expression" dxfId="97" priority="14">
      <formula>AND($B$60=$H$60,$B$62="")</formula>
    </cfRule>
  </conditionalFormatting>
  <conditionalFormatting sqref="B75">
    <cfRule type="expression" dxfId="96" priority="10">
      <formula>$B$74=$H$60</formula>
    </cfRule>
  </conditionalFormatting>
  <conditionalFormatting sqref="B76:B77">
    <cfRule type="expression" dxfId="95" priority="11">
      <formula>AND($B$74=$H$60,$B$76="")</formula>
    </cfRule>
  </conditionalFormatting>
  <conditionalFormatting sqref="B40:E42">
    <cfRule type="expression" dxfId="94" priority="5">
      <formula>$B$40=""</formula>
    </cfRule>
  </conditionalFormatting>
  <conditionalFormatting sqref="B60:E60">
    <cfRule type="expression" dxfId="93" priority="15">
      <formula>OR($B$60=$H$59,$B$60="")</formula>
    </cfRule>
  </conditionalFormatting>
  <conditionalFormatting sqref="B70:E70">
    <cfRule type="expression" dxfId="92" priority="4">
      <formula>IF($B$70="Unconfirmed",TRUE,FALSE)</formula>
    </cfRule>
  </conditionalFormatting>
  <conditionalFormatting sqref="B74:E74">
    <cfRule type="expression" dxfId="91" priority="12">
      <formula>OR($B$74=$H$59,$B$74="")</formula>
    </cfRule>
  </conditionalFormatting>
  <conditionalFormatting sqref="C11:D30">
    <cfRule type="expression" dxfId="90" priority="6">
      <formula>C11=""</formula>
    </cfRule>
  </conditionalFormatting>
  <conditionalFormatting sqref="E2:E3">
    <cfRule type="cellIs" dxfId="89" priority="1" operator="equal">
      <formula>""</formula>
    </cfRule>
  </conditionalFormatting>
  <conditionalFormatting sqref="E47">
    <cfRule type="expression" dxfId="88" priority="8">
      <formula>$E$47=""</formula>
    </cfRule>
  </conditionalFormatting>
  <dataValidations count="1">
    <dataValidation type="list" showInputMessage="1" showErrorMessage="1" sqref="B60 B74" xr:uid="{F411308D-A1BF-4597-B5D7-A930CB1FD9FB}">
      <formula1>$H$59:$H$61</formula1>
    </dataValidation>
  </dataValidations>
  <pageMargins left="0.25" right="0.25" top="0.75" bottom="0.75" header="0.3" footer="0.3"/>
  <pageSetup orientation="portrait" r:id="rId1"/>
  <rowBreaks count="2" manualBreakCount="2">
    <brk id="32" max="16383" man="1"/>
    <brk id="57"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FA2161E-E2F4-4B8D-89D9-5DF0F68DD751}">
          <x14:formula1>
            <xm:f>'Drop Down Lists and Formatting'!$A$67:$A$68</xm:f>
          </x14:formula1>
          <xm:sqref>B70</xm:sqref>
        </x14:dataValidation>
        <x14:dataValidation type="list" allowBlank="1" showInputMessage="1" showErrorMessage="1" xr:uid="{439AE067-ACF9-4746-A4C3-39E7A6BB223E}">
          <x14:formula1>
            <xm:f>'Drop Down Lists and Formatting'!$A$72:$A$90</xm:f>
          </x14:formula1>
          <xm:sqref>B36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dimension ref="A1:F85"/>
  <sheetViews>
    <sheetView showGridLines="0" zoomScaleNormal="100" zoomScaleSheetLayoutView="85" zoomScalePageLayoutView="55" workbookViewId="0"/>
  </sheetViews>
  <sheetFormatPr defaultColWidth="8.88671875" defaultRowHeight="19.2" x14ac:dyDescent="0.45"/>
  <cols>
    <col min="1" max="1" width="4.6640625" style="257" customWidth="1"/>
    <col min="2" max="2" width="23.5546875" style="257" customWidth="1"/>
    <col min="3" max="3" width="22.33203125" style="257" customWidth="1"/>
    <col min="4" max="5" width="20.6640625" style="257" customWidth="1"/>
    <col min="6" max="6" width="13.6640625" style="257" customWidth="1"/>
    <col min="7" max="16384" width="8.88671875" style="257"/>
  </cols>
  <sheetData>
    <row r="1" spans="1:6" s="268" customFormat="1" x14ac:dyDescent="0.45">
      <c r="A1" s="1055" t="str">
        <f>'General Information'!$A$1</f>
        <v>Texas Department of Insurance</v>
      </c>
      <c r="C1" s="373"/>
    </row>
    <row r="2" spans="1:6" s="268" customFormat="1" x14ac:dyDescent="0.45">
      <c r="A2" s="1055" t="str">
        <f>'General Information'!$A$2</f>
        <v>Property and Casualty Rate Filing Exhibits</v>
      </c>
      <c r="C2" s="373"/>
      <c r="D2" s="160" t="s">
        <v>97</v>
      </c>
      <c r="E2" s="1018" t="str">
        <f>'General Information'!$E$2</f>
        <v>Fill out Gen Info</v>
      </c>
    </row>
    <row r="3" spans="1:6" s="268" customFormat="1" x14ac:dyDescent="0.45">
      <c r="A3" s="1055" t="str">
        <f>'General Information'!$A$3</f>
        <v>Rate Filing Template (2025 Edition)</v>
      </c>
      <c r="C3" s="373"/>
      <c r="D3" s="160" t="s">
        <v>98</v>
      </c>
      <c r="E3" s="1018" t="str">
        <f>'General Information'!$E$3</f>
        <v>Fill out Gen Info</v>
      </c>
    </row>
    <row r="4" spans="1:6" s="268" customFormat="1" x14ac:dyDescent="0.3">
      <c r="B4" s="289"/>
      <c r="C4" s="289"/>
    </row>
    <row r="5" spans="1:6" s="268" customFormat="1" x14ac:dyDescent="0.3">
      <c r="A5" s="1221" t="s">
        <v>448</v>
      </c>
      <c r="B5" s="1199"/>
      <c r="C5" s="1199"/>
      <c r="D5" s="1199"/>
      <c r="E5" s="1199"/>
    </row>
    <row r="7" spans="1:6" x14ac:dyDescent="0.45">
      <c r="B7" s="1302" t="s">
        <v>449</v>
      </c>
      <c r="C7" s="1302"/>
      <c r="D7" s="1302"/>
      <c r="E7" s="1302"/>
    </row>
    <row r="8" spans="1:6" x14ac:dyDescent="0.45">
      <c r="B8" s="1302"/>
      <c r="C8" s="1302"/>
      <c r="D8" s="1302"/>
      <c r="E8" s="1302"/>
    </row>
    <row r="9" spans="1:6" x14ac:dyDescent="0.45">
      <c r="C9" s="550">
        <v>-1</v>
      </c>
      <c r="D9" s="550">
        <f>C9-1</f>
        <v>-2</v>
      </c>
      <c r="E9" s="550">
        <f>D9-1</f>
        <v>-3</v>
      </c>
    </row>
    <row r="10" spans="1:6" ht="57.6" x14ac:dyDescent="0.45">
      <c r="B10" s="1022" t="s">
        <v>22</v>
      </c>
      <c r="C10" s="1020" t="str">
        <f>IF('General Information'!B18='Drop Down Lists and Formatting'!A40,"Incurred Non-Modeled Cat Losses","Incurred Non-Modeled Cat Losses &amp; DCCE")</f>
        <v>Incurred Non-Modeled Cat Losses &amp; DCCE</v>
      </c>
      <c r="D10" s="1019" t="str">
        <f>IF('General Information'!B18='Drop Down Lists and Formatting'!A40,"Incurred Non-Cat Losses","Incurred Non-Cat Losses &amp; DCCE")</f>
        <v>Incurred Non-Cat Losses &amp; DCCE</v>
      </c>
      <c r="E10" s="1022" t="s">
        <v>450</v>
      </c>
      <c r="F10" s="371"/>
    </row>
    <row r="11" spans="1:6" x14ac:dyDescent="0.45">
      <c r="B11" s="810" t="str">
        <f>IF('General Information'!$B$20="","20__",B12-1)</f>
        <v>20__</v>
      </c>
      <c r="C11" s="814"/>
      <c r="D11" s="815"/>
      <c r="E11" s="816">
        <f t="shared" ref="E11:E29" si="0">IFERROR(C11/D11,0)</f>
        <v>0</v>
      </c>
    </row>
    <row r="12" spans="1:6" x14ac:dyDescent="0.45">
      <c r="B12" s="811" t="str">
        <f>IF('General Information'!$B$20="","20__",B13-1)</f>
        <v>20__</v>
      </c>
      <c r="C12" s="812"/>
      <c r="D12" s="813"/>
      <c r="E12" s="621">
        <f t="shared" si="0"/>
        <v>0</v>
      </c>
    </row>
    <row r="13" spans="1:6" x14ac:dyDescent="0.45">
      <c r="B13" s="810" t="str">
        <f>IF('General Information'!$B$20="","20__",B14-1)</f>
        <v>20__</v>
      </c>
      <c r="C13" s="814"/>
      <c r="D13" s="815"/>
      <c r="E13" s="816">
        <f t="shared" si="0"/>
        <v>0</v>
      </c>
    </row>
    <row r="14" spans="1:6" x14ac:dyDescent="0.45">
      <c r="B14" s="811" t="str">
        <f>IF('General Information'!$B$20="","20__",B15-1)</f>
        <v>20__</v>
      </c>
      <c r="C14" s="812"/>
      <c r="D14" s="813"/>
      <c r="E14" s="621">
        <f t="shared" si="0"/>
        <v>0</v>
      </c>
    </row>
    <row r="15" spans="1:6" x14ac:dyDescent="0.45">
      <c r="B15" s="810" t="str">
        <f>IF('General Information'!$B$20="","20__",B16-1)</f>
        <v>20__</v>
      </c>
      <c r="C15" s="814"/>
      <c r="D15" s="815"/>
      <c r="E15" s="816">
        <f t="shared" si="0"/>
        <v>0</v>
      </c>
    </row>
    <row r="16" spans="1:6" x14ac:dyDescent="0.45">
      <c r="B16" s="811" t="str">
        <f>IF('General Information'!$B$20="","20__",B17-1)</f>
        <v>20__</v>
      </c>
      <c r="C16" s="812"/>
      <c r="D16" s="813"/>
      <c r="E16" s="621">
        <f t="shared" si="0"/>
        <v>0</v>
      </c>
    </row>
    <row r="17" spans="2:5" x14ac:dyDescent="0.45">
      <c r="B17" s="810" t="str">
        <f>IF('General Information'!$B$20="","20__",B18-1)</f>
        <v>20__</v>
      </c>
      <c r="C17" s="814"/>
      <c r="D17" s="815"/>
      <c r="E17" s="816">
        <f t="shared" si="0"/>
        <v>0</v>
      </c>
    </row>
    <row r="18" spans="2:5" x14ac:dyDescent="0.45">
      <c r="B18" s="811" t="str">
        <f>IF('General Information'!$B$20="","20__",B19-1)</f>
        <v>20__</v>
      </c>
      <c r="C18" s="812"/>
      <c r="D18" s="813"/>
      <c r="E18" s="621">
        <f t="shared" si="0"/>
        <v>0</v>
      </c>
    </row>
    <row r="19" spans="2:5" x14ac:dyDescent="0.45">
      <c r="B19" s="810" t="str">
        <f>IF('General Information'!$B$20="","20__",B20-1)</f>
        <v>20__</v>
      </c>
      <c r="C19" s="814"/>
      <c r="D19" s="815"/>
      <c r="E19" s="816">
        <f t="shared" si="0"/>
        <v>0</v>
      </c>
    </row>
    <row r="20" spans="2:5" x14ac:dyDescent="0.45">
      <c r="B20" s="811" t="str">
        <f>IF('General Information'!$B$20="","20__",B21-1)</f>
        <v>20__</v>
      </c>
      <c r="C20" s="812"/>
      <c r="D20" s="813"/>
      <c r="E20" s="621">
        <f t="shared" si="0"/>
        <v>0</v>
      </c>
    </row>
    <row r="21" spans="2:5" x14ac:dyDescent="0.45">
      <c r="B21" s="810" t="str">
        <f>IF('General Information'!$B$20="","20__",B22-1)</f>
        <v>20__</v>
      </c>
      <c r="C21" s="814"/>
      <c r="D21" s="815"/>
      <c r="E21" s="816">
        <f t="shared" si="0"/>
        <v>0</v>
      </c>
    </row>
    <row r="22" spans="2:5" x14ac:dyDescent="0.45">
      <c r="B22" s="811" t="str">
        <f>IF('General Information'!$B$20="","20__",B23-1)</f>
        <v>20__</v>
      </c>
      <c r="C22" s="812"/>
      <c r="D22" s="813"/>
      <c r="E22" s="621">
        <f t="shared" si="0"/>
        <v>0</v>
      </c>
    </row>
    <row r="23" spans="2:5" x14ac:dyDescent="0.45">
      <c r="B23" s="810" t="str">
        <f>IF('General Information'!$B$20="","20__",B24-1)</f>
        <v>20__</v>
      </c>
      <c r="C23" s="814"/>
      <c r="D23" s="815"/>
      <c r="E23" s="816">
        <f t="shared" si="0"/>
        <v>0</v>
      </c>
    </row>
    <row r="24" spans="2:5" x14ac:dyDescent="0.45">
      <c r="B24" s="811" t="str">
        <f>IF('General Information'!$B$20="","20__",B25-1)</f>
        <v>20__</v>
      </c>
      <c r="C24" s="812"/>
      <c r="D24" s="813"/>
      <c r="E24" s="621">
        <f t="shared" si="0"/>
        <v>0</v>
      </c>
    </row>
    <row r="25" spans="2:5" x14ac:dyDescent="0.45">
      <c r="B25" s="810" t="str">
        <f>IF('General Information'!$B$20="","20__",B26-1)</f>
        <v>20__</v>
      </c>
      <c r="C25" s="814"/>
      <c r="D25" s="815"/>
      <c r="E25" s="816">
        <f t="shared" si="0"/>
        <v>0</v>
      </c>
    </row>
    <row r="26" spans="2:5" x14ac:dyDescent="0.45">
      <c r="B26" s="811" t="str">
        <f>IF('General Information'!$B$20="","20__",B27-1)</f>
        <v>20__</v>
      </c>
      <c r="C26" s="812"/>
      <c r="D26" s="813"/>
      <c r="E26" s="621">
        <f t="shared" si="0"/>
        <v>0</v>
      </c>
    </row>
    <row r="27" spans="2:5" x14ac:dyDescent="0.45">
      <c r="B27" s="810" t="str">
        <f>IF('General Information'!$B$20="","20__",B28-1)</f>
        <v>20__</v>
      </c>
      <c r="C27" s="814"/>
      <c r="D27" s="815"/>
      <c r="E27" s="816">
        <f t="shared" si="0"/>
        <v>0</v>
      </c>
    </row>
    <row r="28" spans="2:5" x14ac:dyDescent="0.45">
      <c r="B28" s="811" t="str">
        <f>IF('General Information'!$B$20="","20__",B29-1)</f>
        <v>20__</v>
      </c>
      <c r="C28" s="812"/>
      <c r="D28" s="813"/>
      <c r="E28" s="621">
        <f t="shared" si="0"/>
        <v>0</v>
      </c>
    </row>
    <row r="29" spans="2:5" x14ac:dyDescent="0.45">
      <c r="B29" s="810" t="str">
        <f>IF('General Information'!$B$20="","20__",B30-1)</f>
        <v>20__</v>
      </c>
      <c r="C29" s="814"/>
      <c r="D29" s="815"/>
      <c r="E29" s="816">
        <f t="shared" si="0"/>
        <v>0</v>
      </c>
    </row>
    <row r="30" spans="2:5" x14ac:dyDescent="0.45">
      <c r="B30" s="817" t="str">
        <f>IF('General Information'!B20="","20__",IF(MONTH('General Information'!B20)&gt;8,YEAR('General Information'!B20),YEAR('General Information'!B20)-1))</f>
        <v>20__</v>
      </c>
      <c r="C30" s="818"/>
      <c r="D30" s="819"/>
      <c r="E30" s="820">
        <f>IFERROR(C30/D30,0)</f>
        <v>0</v>
      </c>
    </row>
    <row r="31" spans="2:5" x14ac:dyDescent="0.45">
      <c r="B31" s="575" t="s">
        <v>293</v>
      </c>
      <c r="C31" s="821">
        <f>SUM(C11:C30)</f>
        <v>0</v>
      </c>
      <c r="D31" s="822">
        <f>SUM(D11:D30)</f>
        <v>0</v>
      </c>
      <c r="E31" s="823">
        <f>IFERROR(C31/D31,0)</f>
        <v>0</v>
      </c>
    </row>
    <row r="34" spans="1:5" ht="38.85" customHeight="1" x14ac:dyDescent="0.45">
      <c r="B34" s="1022" t="s">
        <v>379</v>
      </c>
      <c r="C34" s="1022" t="s">
        <v>433</v>
      </c>
      <c r="D34" s="1022" t="s">
        <v>434</v>
      </c>
    </row>
    <row r="35" spans="1:5" x14ac:dyDescent="0.45">
      <c r="B35" s="731" t="s">
        <v>435</v>
      </c>
      <c r="C35" s="824" t="str">
        <f>IF(C11="","N/A",IFERROR(SUM(C11:C30)/SUM(D11:D30),0))</f>
        <v>N/A</v>
      </c>
      <c r="D35" s="825" t="str">
        <f>IF(C11="","N/A",IFERROR(AVERAGE(E11:E30),0))</f>
        <v>N/A</v>
      </c>
      <c r="E35" s="568"/>
    </row>
    <row r="36" spans="1:5" x14ac:dyDescent="0.45">
      <c r="B36" s="731" t="s">
        <v>436</v>
      </c>
      <c r="C36" s="824" t="str">
        <f>IF(C21="","N/A",IFERROR(SUM(C21:C30)/SUM(D21:D30),0))</f>
        <v>N/A</v>
      </c>
      <c r="D36" s="825" t="str">
        <f>IF(C21="","N/A",IFERROR(AVERAGE(E21:E30),0))</f>
        <v>N/A</v>
      </c>
      <c r="E36" s="568"/>
    </row>
    <row r="37" spans="1:5" x14ac:dyDescent="0.45">
      <c r="B37" s="638" t="s">
        <v>40</v>
      </c>
      <c r="C37" s="826" t="str">
        <f ca="1">IFERROR((SUM(OFFSET(C$31,-$B$37,0,$B$37,1)))/(SUM(OFFSET(D$31,-$B$37,0,$B$37,1))),"N/A")</f>
        <v>N/A</v>
      </c>
      <c r="D37" s="827" t="str">
        <f ca="1">IFERROR((AVERAGE(OFFSET(E$31,-$B$37,0,$B$37,1))),"N/A")</f>
        <v>N/A</v>
      </c>
      <c r="E37" s="568"/>
    </row>
    <row r="38" spans="1:5" x14ac:dyDescent="0.45">
      <c r="C38" s="307"/>
      <c r="D38" s="273"/>
      <c r="E38" s="568"/>
    </row>
    <row r="39" spans="1:5" x14ac:dyDescent="0.45">
      <c r="A39" s="828">
        <f>E9-1</f>
        <v>-4</v>
      </c>
      <c r="B39" s="1338" t="s">
        <v>451</v>
      </c>
      <c r="C39" s="1338"/>
      <c r="D39" s="1338"/>
      <c r="E39" s="1338"/>
    </row>
    <row r="40" spans="1:5" x14ac:dyDescent="0.45">
      <c r="B40" s="1339"/>
      <c r="C40" s="1339"/>
      <c r="D40" s="1339"/>
      <c r="E40" s="1339"/>
    </row>
    <row r="41" spans="1:5" x14ac:dyDescent="0.45">
      <c r="B41" s="1340"/>
      <c r="C41" s="1340"/>
      <c r="D41" s="1340"/>
      <c r="E41" s="1340"/>
    </row>
    <row r="42" spans="1:5" x14ac:dyDescent="0.45">
      <c r="B42" s="1341"/>
      <c r="C42" s="1341"/>
      <c r="D42" s="1341"/>
      <c r="E42" s="1341"/>
    </row>
    <row r="43" spans="1:5" x14ac:dyDescent="0.45">
      <c r="B43" s="1341"/>
      <c r="C43" s="1341"/>
      <c r="D43" s="1341"/>
      <c r="E43" s="1341"/>
    </row>
    <row r="45" spans="1:5" x14ac:dyDescent="0.45">
      <c r="B45" s="370" t="s">
        <v>452</v>
      </c>
    </row>
    <row r="47" spans="1:5" x14ac:dyDescent="0.45">
      <c r="A47" s="828">
        <f>A39-1</f>
        <v>-5</v>
      </c>
      <c r="B47" s="1342" t="s">
        <v>453</v>
      </c>
      <c r="C47" s="1342"/>
      <c r="D47" s="1342"/>
      <c r="E47" s="1342"/>
    </row>
    <row r="48" spans="1:5" x14ac:dyDescent="0.45">
      <c r="B48" s="1343"/>
      <c r="C48" s="1343"/>
      <c r="D48" s="1343"/>
      <c r="E48" s="1343"/>
    </row>
    <row r="49" spans="1:6" x14ac:dyDescent="0.45">
      <c r="B49" s="1344" t="s">
        <v>35</v>
      </c>
      <c r="C49" s="1345"/>
      <c r="D49" s="868"/>
      <c r="E49" s="869"/>
    </row>
    <row r="51" spans="1:6" x14ac:dyDescent="0.45">
      <c r="A51" s="828">
        <f>A47-1</f>
        <v>-6</v>
      </c>
      <c r="B51" s="1336" t="str">
        <f>TEXT("Selected ","") &amp; TEXT('1-Indication'!G20,"")</f>
        <v>Selected Non-Modeled Cat Loss &amp; DCCE Load</v>
      </c>
      <c r="C51" s="1337"/>
      <c r="D51" s="1337"/>
      <c r="E51" s="829"/>
    </row>
    <row r="52" spans="1:6" x14ac:dyDescent="0.45">
      <c r="B52" s="1327" t="str">
        <f>IF(B49='Drop Down Lists and Formatting'!A64,"Enter the value as a ratio of cat-to-earned premium.","Enter the value as a ratio of cat-to-non-cat loss.")</f>
        <v>Enter the value as a ratio of cat-to-non-cat loss.</v>
      </c>
      <c r="C52" s="1328"/>
      <c r="D52" s="1328"/>
      <c r="E52" s="1329"/>
    </row>
    <row r="54" spans="1:6" x14ac:dyDescent="0.45">
      <c r="A54" s="828">
        <f>A51-1</f>
        <v>-7</v>
      </c>
      <c r="B54" s="1346" t="s">
        <v>454</v>
      </c>
      <c r="C54" s="1347"/>
      <c r="D54" s="1347"/>
      <c r="E54" s="1348"/>
      <c r="F54" s="371"/>
    </row>
    <row r="55" spans="1:6" ht="38.4" customHeight="1" x14ac:dyDescent="0.45">
      <c r="B55" s="1349"/>
      <c r="C55" s="1350"/>
      <c r="D55" s="1350"/>
      <c r="E55" s="1351"/>
      <c r="F55" s="371"/>
    </row>
    <row r="56" spans="1:6" x14ac:dyDescent="0.45">
      <c r="B56" s="1251"/>
      <c r="C56" s="1252"/>
      <c r="D56" s="1252"/>
      <c r="E56" s="1253"/>
      <c r="F56" s="830"/>
    </row>
    <row r="57" spans="1:6" x14ac:dyDescent="0.45">
      <c r="B57" s="1180"/>
      <c r="C57" s="1181"/>
      <c r="D57" s="1181"/>
      <c r="E57" s="1182"/>
      <c r="F57" s="830"/>
    </row>
    <row r="58" spans="1:6" x14ac:dyDescent="0.45">
      <c r="B58" s="1183"/>
      <c r="C58" s="1184"/>
      <c r="D58" s="1184"/>
      <c r="E58" s="1185"/>
      <c r="F58" s="830"/>
    </row>
    <row r="61" spans="1:6" ht="38.4" customHeight="1" x14ac:dyDescent="0.45">
      <c r="A61" s="870">
        <f>A54-1</f>
        <v>-8</v>
      </c>
      <c r="B61" s="1352" t="s">
        <v>442</v>
      </c>
      <c r="C61" s="1353"/>
      <c r="D61" s="1353"/>
      <c r="E61" s="1354"/>
      <c r="F61" s="1085"/>
    </row>
    <row r="62" spans="1:6" x14ac:dyDescent="0.45">
      <c r="B62" s="834" t="s">
        <v>35</v>
      </c>
      <c r="C62" s="836"/>
      <c r="D62" s="836"/>
      <c r="E62" s="837"/>
      <c r="F62" s="1085"/>
    </row>
    <row r="63" spans="1:6" x14ac:dyDescent="0.45">
      <c r="B63" s="1106" t="s">
        <v>443</v>
      </c>
      <c r="C63" s="1107"/>
      <c r="D63" s="1107"/>
      <c r="E63" s="1108"/>
    </row>
    <row r="64" spans="1:6" x14ac:dyDescent="0.45">
      <c r="B64" s="1251"/>
      <c r="C64" s="1252"/>
      <c r="D64" s="1252"/>
      <c r="E64" s="1253"/>
      <c r="F64" s="830"/>
    </row>
    <row r="65" spans="1:6" x14ac:dyDescent="0.45">
      <c r="B65" s="1180"/>
      <c r="C65" s="1181"/>
      <c r="D65" s="1181"/>
      <c r="E65" s="1182"/>
      <c r="F65" s="830"/>
    </row>
    <row r="66" spans="1:6" x14ac:dyDescent="0.45">
      <c r="B66" s="1183"/>
      <c r="C66" s="1184"/>
      <c r="D66" s="1184"/>
      <c r="E66" s="1185"/>
      <c r="F66" s="830"/>
    </row>
    <row r="68" spans="1:6" ht="38.4" customHeight="1" x14ac:dyDescent="0.45">
      <c r="A68" s="870">
        <f>A61-1</f>
        <v>-9</v>
      </c>
      <c r="B68" s="1298" t="s">
        <v>455</v>
      </c>
      <c r="C68" s="1299"/>
      <c r="D68" s="1299"/>
      <c r="E68" s="1300"/>
      <c r="F68" s="1085"/>
    </row>
    <row r="69" spans="1:6" x14ac:dyDescent="0.45">
      <c r="B69" s="1333" t="s">
        <v>445</v>
      </c>
      <c r="C69" s="1334"/>
      <c r="D69" s="1334"/>
      <c r="E69" s="1335"/>
      <c r="F69" s="371"/>
    </row>
    <row r="70" spans="1:6" x14ac:dyDescent="0.45">
      <c r="B70" s="834" t="s">
        <v>38</v>
      </c>
      <c r="C70" s="835"/>
      <c r="D70" s="836"/>
      <c r="E70" s="837"/>
      <c r="F70" s="1085"/>
    </row>
    <row r="73" spans="1:6" x14ac:dyDescent="0.45">
      <c r="A73" s="828">
        <f>A68-1</f>
        <v>-10</v>
      </c>
      <c r="B73" s="1177" t="s">
        <v>446</v>
      </c>
      <c r="C73" s="1178"/>
      <c r="D73" s="1178"/>
      <c r="E73" s="1179"/>
      <c r="F73" s="1085"/>
    </row>
    <row r="74" spans="1:6" x14ac:dyDescent="0.45">
      <c r="B74" s="831" t="s">
        <v>35</v>
      </c>
      <c r="C74" s="832"/>
      <c r="D74" s="832"/>
      <c r="E74" s="833"/>
      <c r="F74" s="1085"/>
    </row>
    <row r="75" spans="1:6" x14ac:dyDescent="0.45">
      <c r="B75" s="1324" t="s">
        <v>443</v>
      </c>
      <c r="C75" s="1325"/>
      <c r="D75" s="1325"/>
      <c r="E75" s="1326"/>
    </row>
    <row r="76" spans="1:6" x14ac:dyDescent="0.45">
      <c r="B76" s="1251"/>
      <c r="C76" s="1252"/>
      <c r="D76" s="1252"/>
      <c r="E76" s="1253"/>
      <c r="F76" s="830"/>
    </row>
    <row r="77" spans="1:6" x14ac:dyDescent="0.45">
      <c r="B77" s="1180"/>
      <c r="C77" s="1181"/>
      <c r="D77" s="1181"/>
      <c r="E77" s="1182"/>
      <c r="F77" s="830"/>
    </row>
    <row r="78" spans="1:6" x14ac:dyDescent="0.45">
      <c r="B78" s="1183"/>
      <c r="C78" s="1184"/>
      <c r="D78" s="1184"/>
      <c r="E78" s="1185"/>
      <c r="F78" s="830"/>
    </row>
    <row r="82" spans="1:2" x14ac:dyDescent="0.45">
      <c r="A82" s="550">
        <f>C9</f>
        <v>-1</v>
      </c>
      <c r="B82" s="370" t="s">
        <v>266</v>
      </c>
    </row>
    <row r="83" spans="1:2" x14ac:dyDescent="0.45">
      <c r="A83" s="550">
        <f>D9</f>
        <v>-2</v>
      </c>
      <c r="B83" s="370" t="s">
        <v>266</v>
      </c>
    </row>
    <row r="84" spans="1:2" x14ac:dyDescent="0.45">
      <c r="A84" s="550">
        <f>E9</f>
        <v>-3</v>
      </c>
      <c r="B84" s="372" t="s">
        <v>456</v>
      </c>
    </row>
    <row r="85" spans="1:2" x14ac:dyDescent="0.45">
      <c r="A85" s="550">
        <f>A51</f>
        <v>-6</v>
      </c>
      <c r="B85" s="370" t="s">
        <v>266</v>
      </c>
    </row>
  </sheetData>
  <sheetProtection sheet="1" objects="1" scenarios="1"/>
  <mergeCells count="17">
    <mergeCell ref="B54:E55"/>
    <mergeCell ref="B39:E40"/>
    <mergeCell ref="B41:E43"/>
    <mergeCell ref="B52:E52"/>
    <mergeCell ref="B76:E78"/>
    <mergeCell ref="B75:E75"/>
    <mergeCell ref="B73:E73"/>
    <mergeCell ref="B64:E66"/>
    <mergeCell ref="B56:E58"/>
    <mergeCell ref="B69:E69"/>
    <mergeCell ref="B68:E68"/>
    <mergeCell ref="B61:E61"/>
    <mergeCell ref="A5:E5"/>
    <mergeCell ref="B7:E8"/>
    <mergeCell ref="B47:E48"/>
    <mergeCell ref="B49:C49"/>
    <mergeCell ref="B51:D51"/>
  </mergeCells>
  <conditionalFormatting sqref="B37">
    <cfRule type="expression" dxfId="87" priority="2">
      <formula>OR($B$37="Select n-year average",ISBLANK($B$37))</formula>
    </cfRule>
  </conditionalFormatting>
  <conditionalFormatting sqref="B56">
    <cfRule type="expression" dxfId="86" priority="11">
      <formula>$B$56=""</formula>
    </cfRule>
  </conditionalFormatting>
  <conditionalFormatting sqref="B63">
    <cfRule type="expression" dxfId="85" priority="110">
      <formula>$B$62=#REF!</formula>
    </cfRule>
  </conditionalFormatting>
  <conditionalFormatting sqref="B64:B65">
    <cfRule type="expression" dxfId="84" priority="111">
      <formula>AND($B$62=#REF!,$B$64="")</formula>
    </cfRule>
  </conditionalFormatting>
  <conditionalFormatting sqref="B75">
    <cfRule type="expression" dxfId="83" priority="112">
      <formula>$B$74=#REF!</formula>
    </cfRule>
  </conditionalFormatting>
  <conditionalFormatting sqref="B76">
    <cfRule type="expression" dxfId="82" priority="113">
      <formula>AND($B$74=#REF!,$B$76="")</formula>
    </cfRule>
  </conditionalFormatting>
  <conditionalFormatting sqref="B41:E43">
    <cfRule type="expression" dxfId="81" priority="5">
      <formula>$B$41=""</formula>
    </cfRule>
  </conditionalFormatting>
  <conditionalFormatting sqref="B62:E62">
    <cfRule type="expression" dxfId="79" priority="114">
      <formula>OR($B$62=#REF!,$B$62="")</formula>
    </cfRule>
  </conditionalFormatting>
  <conditionalFormatting sqref="B74:E74">
    <cfRule type="expression" dxfId="77" priority="115">
      <formula>OR($B$74=#REF!,$B$74="")</formula>
    </cfRule>
  </conditionalFormatting>
  <conditionalFormatting sqref="C11:D30">
    <cfRule type="expression" dxfId="76" priority="6">
      <formula>C11=""</formula>
    </cfRule>
  </conditionalFormatting>
  <conditionalFormatting sqref="E2:E3">
    <cfRule type="cellIs" dxfId="75" priority="1" operator="equal">
      <formula>""</formula>
    </cfRule>
  </conditionalFormatting>
  <conditionalFormatting sqref="E51">
    <cfRule type="expression" dxfId="74" priority="8">
      <formula>$E$51=""</formula>
    </cfRule>
  </conditionalFormatting>
  <dataValidations count="1">
    <dataValidation type="list" showInputMessage="1" showErrorMessage="1" sqref="B62 B74" xr:uid="{00000000-0002-0000-1100-000000000000}">
      <formula1>#REF!</formula1>
    </dataValidation>
  </dataValidations>
  <printOptions horizontalCentered="1"/>
  <pageMargins left="0.25" right="0.25" top="0.75" bottom="0.75" header="0.3" footer="0.3"/>
  <pageSetup fitToWidth="0" fitToHeight="2" orientation="portrait" r:id="rId1"/>
  <rowBreaks count="2" manualBreakCount="2">
    <brk id="32" max="4" man="1"/>
    <brk id="59" max="4" man="1"/>
  </rowBreaks>
  <drawing r:id="rId2"/>
  <extLst>
    <ext xmlns:x14="http://schemas.microsoft.com/office/spreadsheetml/2009/9/main" uri="{78C0D931-6437-407d-A8EE-F0AAD7539E65}">
      <x14:conditionalFormattings>
        <x14:conditionalFormatting xmlns:xm="http://schemas.microsoft.com/office/excel/2006/main">
          <x14:cfRule type="expression" priority="101" id="{00000000-000E-0000-1600-000003000000}">
            <xm:f>$B$49='Drop Down Lists and Formatting'!$A$62</xm:f>
            <x14:dxf>
              <fill>
                <patternFill>
                  <bgColor rgb="FFFFFF00"/>
                </patternFill>
              </fill>
            </x14:dxf>
          </x14:cfRule>
          <xm:sqref>B49:E49</xm:sqref>
        </x14:conditionalFormatting>
        <x14:conditionalFormatting xmlns:xm="http://schemas.microsoft.com/office/excel/2006/main">
          <x14:cfRule type="expression" priority="104" id="{00000000-000E-0000-1600-000018000000}">
            <xm:f>$B$70='Drop Down Lists and Formatting'!$A$67</xm:f>
            <x14:dxf>
              <fill>
                <patternFill>
                  <bgColor rgb="FFFFFF00"/>
                </patternFill>
              </fill>
            </x14:dxf>
          </x14:cfRule>
          <xm:sqref>B70:E70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1100-000002000000}">
          <x14:formula1>
            <xm:f>'Drop Down Lists and Formatting'!$A$62:$A$64</xm:f>
          </x14:formula1>
          <xm:sqref>B49</xm:sqref>
        </x14:dataValidation>
        <x14:dataValidation type="list" allowBlank="1" showInputMessage="1" showErrorMessage="1" xr:uid="{00000000-0002-0000-1100-000001000000}">
          <x14:formula1>
            <xm:f>'Drop Down Lists and Formatting'!$A$67:$A$68</xm:f>
          </x14:formula1>
          <xm:sqref>B70</xm:sqref>
        </x14:dataValidation>
        <x14:dataValidation type="list" allowBlank="1" showInputMessage="1" showErrorMessage="1" xr:uid="{C060B7B9-F298-4A2B-B66F-6D1B0166A0AD}">
          <x14:formula1>
            <xm:f>'Drop Down Lists and Formatting'!$A$72:$A$90</xm:f>
          </x14:formula1>
          <xm:sqref>B37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M80"/>
  <sheetViews>
    <sheetView showGridLines="0" zoomScaleNormal="100" workbookViewId="0"/>
  </sheetViews>
  <sheetFormatPr defaultColWidth="8.88671875" defaultRowHeight="14.4" x14ac:dyDescent="0.3"/>
  <cols>
    <col min="1" max="1" width="4.109375" style="2" customWidth="1"/>
    <col min="2" max="3" width="12.5546875" style="2" customWidth="1"/>
    <col min="4" max="4" width="15.33203125" style="2" customWidth="1"/>
    <col min="5" max="5" width="17" style="2" customWidth="1"/>
    <col min="6" max="7" width="15.33203125" style="2" customWidth="1"/>
    <col min="8" max="8" width="14.6640625" style="2" customWidth="1"/>
    <col min="9" max="9" width="15.6640625" style="2" customWidth="1"/>
    <col min="10" max="10" width="9.6640625" style="2" customWidth="1"/>
    <col min="11" max="11" width="12.33203125" style="2" hidden="1" customWidth="1"/>
    <col min="12" max="14" width="8.88671875" style="2" customWidth="1"/>
    <col min="15" max="16384" width="8.88671875" style="2"/>
  </cols>
  <sheetData>
    <row r="1" spans="1:11" s="81" customFormat="1" ht="19.2" x14ac:dyDescent="0.45">
      <c r="A1" s="1055" t="str">
        <f>'General Information'!$A$1</f>
        <v>Texas Department of Insurance</v>
      </c>
      <c r="B1" s="225"/>
      <c r="C1" s="80"/>
      <c r="D1" s="225"/>
      <c r="E1" s="225"/>
      <c r="F1" s="225"/>
      <c r="G1" s="225"/>
      <c r="H1" s="225"/>
      <c r="I1" s="225"/>
      <c r="J1" s="225"/>
      <c r="K1" s="225"/>
    </row>
    <row r="2" spans="1:11" s="81" customFormat="1" ht="19.2" x14ac:dyDescent="0.45">
      <c r="A2" s="1055" t="str">
        <f>'General Information'!$A$2</f>
        <v>Property and Casualty Rate Filing Exhibits</v>
      </c>
      <c r="B2" s="225"/>
      <c r="C2" s="80"/>
      <c r="D2" s="225"/>
      <c r="E2" s="225"/>
      <c r="F2" s="225"/>
      <c r="G2" s="225"/>
      <c r="H2" s="160" t="s">
        <v>97</v>
      </c>
      <c r="I2" s="1018" t="str">
        <f>'General Information'!$E$2</f>
        <v>Fill out Gen Info</v>
      </c>
      <c r="J2" s="225"/>
      <c r="K2" s="225"/>
    </row>
    <row r="3" spans="1:11" s="81" customFormat="1" ht="19.2" x14ac:dyDescent="0.45">
      <c r="A3" s="1055" t="str">
        <f>'General Information'!$A$3</f>
        <v>Rate Filing Template (2025 Edition)</v>
      </c>
      <c r="B3" s="225"/>
      <c r="C3" s="80"/>
      <c r="D3" s="225"/>
      <c r="E3" s="225"/>
      <c r="F3" s="225"/>
      <c r="G3" s="225"/>
      <c r="H3" s="160" t="s">
        <v>98</v>
      </c>
      <c r="I3" s="1018" t="str">
        <f>'General Information'!$E$3</f>
        <v>Fill out Gen Info</v>
      </c>
      <c r="J3" s="225"/>
      <c r="K3" s="225"/>
    </row>
    <row r="4" spans="1:11" s="81" customFormat="1" x14ac:dyDescent="0.3">
      <c r="A4" s="225"/>
      <c r="B4" s="224"/>
      <c r="C4" s="224"/>
      <c r="D4" s="225"/>
      <c r="E4" s="225"/>
      <c r="F4" s="225"/>
      <c r="G4" s="225"/>
      <c r="H4" s="225"/>
      <c r="I4" s="225"/>
      <c r="J4" s="225"/>
      <c r="K4" s="225"/>
    </row>
    <row r="5" spans="1:11" s="81" customFormat="1" ht="15.6" x14ac:dyDescent="0.3">
      <c r="A5" s="1355" t="s">
        <v>457</v>
      </c>
      <c r="B5" s="1356"/>
      <c r="C5" s="1356"/>
      <c r="D5" s="1356"/>
      <c r="E5" s="1356"/>
      <c r="F5" s="1356"/>
      <c r="G5" s="1356"/>
      <c r="H5" s="1356"/>
      <c r="I5" s="1356"/>
      <c r="J5" s="225"/>
      <c r="K5" s="225"/>
    </row>
    <row r="6" spans="1:11" s="81" customFormat="1" x14ac:dyDescent="0.3">
      <c r="A6" s="225"/>
      <c r="B6" s="225"/>
      <c r="C6" s="225"/>
      <c r="D6" s="225"/>
      <c r="E6" s="225"/>
      <c r="F6" s="225"/>
      <c r="G6" s="225"/>
      <c r="H6" s="225"/>
      <c r="I6" s="225"/>
      <c r="J6" s="225"/>
      <c r="K6" s="225"/>
    </row>
    <row r="7" spans="1:11" ht="15" customHeight="1" x14ac:dyDescent="0.3"/>
    <row r="8" spans="1:11" ht="15" customHeight="1" x14ac:dyDescent="0.3">
      <c r="A8" s="1">
        <v>-1</v>
      </c>
      <c r="B8" s="1357" t="s">
        <v>458</v>
      </c>
      <c r="C8" s="1358"/>
      <c r="D8" s="1358"/>
      <c r="E8" s="1359"/>
      <c r="F8" s="66"/>
    </row>
    <row r="9" spans="1:11" ht="15" customHeight="1" x14ac:dyDescent="0.3">
      <c r="B9" s="153" t="s">
        <v>27</v>
      </c>
      <c r="C9" s="154"/>
      <c r="D9" s="154"/>
      <c r="E9" s="155"/>
      <c r="F9" s="65"/>
      <c r="K9" s="2" t="s">
        <v>35</v>
      </c>
    </row>
    <row r="10" spans="1:11" ht="15" customHeight="1" x14ac:dyDescent="0.3">
      <c r="K10" s="2" t="s">
        <v>27</v>
      </c>
    </row>
    <row r="11" spans="1:11" ht="16.2" customHeight="1" x14ac:dyDescent="0.3">
      <c r="B11" s="134" t="s">
        <v>459</v>
      </c>
      <c r="C11" s="134"/>
      <c r="K11" s="2" t="s">
        <v>28</v>
      </c>
    </row>
    <row r="12" spans="1:11" ht="15" customHeight="1" x14ac:dyDescent="0.3"/>
    <row r="13" spans="1:11" ht="15" customHeight="1" x14ac:dyDescent="0.3">
      <c r="B13" s="1402">
        <f>A8-1</f>
        <v>-2</v>
      </c>
      <c r="C13" s="1402"/>
      <c r="D13" s="1">
        <f>B13-1</f>
        <v>-3</v>
      </c>
      <c r="E13" s="1">
        <f t="shared" ref="E13:I13" si="0">D13-1</f>
        <v>-4</v>
      </c>
      <c r="F13" s="1">
        <f t="shared" si="0"/>
        <v>-5</v>
      </c>
      <c r="G13" s="1">
        <f t="shared" si="0"/>
        <v>-6</v>
      </c>
      <c r="H13" s="1">
        <f t="shared" si="0"/>
        <v>-7</v>
      </c>
      <c r="I13" s="1">
        <f t="shared" si="0"/>
        <v>-8</v>
      </c>
    </row>
    <row r="14" spans="1:11" s="127" customFormat="1" ht="32.4" customHeight="1" x14ac:dyDescent="0.3">
      <c r="B14" s="1413" t="s">
        <v>460</v>
      </c>
      <c r="C14" s="1414"/>
      <c r="D14" s="223" t="s">
        <v>461</v>
      </c>
      <c r="E14" s="223" t="s">
        <v>462</v>
      </c>
      <c r="F14" s="223" t="s">
        <v>463</v>
      </c>
      <c r="G14" s="223" t="s">
        <v>464</v>
      </c>
      <c r="H14" s="223" t="s">
        <v>465</v>
      </c>
      <c r="I14" s="223" t="s">
        <v>466</v>
      </c>
    </row>
    <row r="15" spans="1:11" ht="15" customHeight="1" x14ac:dyDescent="0.3">
      <c r="B15" s="1415"/>
      <c r="C15" s="1416"/>
      <c r="D15" s="96"/>
      <c r="E15" s="100"/>
      <c r="F15" s="101"/>
      <c r="G15" s="96"/>
      <c r="H15" s="100"/>
      <c r="I15" s="102"/>
      <c r="K15" s="226" t="s">
        <v>467</v>
      </c>
    </row>
    <row r="16" spans="1:11" ht="15" customHeight="1" x14ac:dyDescent="0.3">
      <c r="B16" s="1396"/>
      <c r="C16" s="1397"/>
      <c r="D16" s="98"/>
      <c r="E16" s="103"/>
      <c r="F16" s="104"/>
      <c r="G16" s="98"/>
      <c r="H16" s="103"/>
      <c r="I16" s="105"/>
      <c r="K16" s="110" t="s">
        <v>468</v>
      </c>
    </row>
    <row r="17" spans="1:11" ht="15" customHeight="1" x14ac:dyDescent="0.3">
      <c r="B17" s="1396"/>
      <c r="C17" s="1397"/>
      <c r="D17" s="98"/>
      <c r="E17" s="103"/>
      <c r="F17" s="104"/>
      <c r="G17" s="98"/>
      <c r="H17" s="103"/>
      <c r="I17" s="105"/>
      <c r="K17" s="110" t="s">
        <v>469</v>
      </c>
    </row>
    <row r="18" spans="1:11" ht="15" customHeight="1" x14ac:dyDescent="0.3">
      <c r="B18" s="1396"/>
      <c r="C18" s="1397"/>
      <c r="D18" s="98"/>
      <c r="E18" s="103"/>
      <c r="F18" s="104"/>
      <c r="G18" s="98"/>
      <c r="H18" s="103"/>
      <c r="I18" s="105"/>
      <c r="K18" s="139" t="s">
        <v>32</v>
      </c>
    </row>
    <row r="19" spans="1:11" ht="15" customHeight="1" x14ac:dyDescent="0.3">
      <c r="B19" s="1396"/>
      <c r="C19" s="1397"/>
      <c r="D19" s="98"/>
      <c r="E19" s="103"/>
      <c r="F19" s="104"/>
      <c r="G19" s="98"/>
      <c r="H19" s="103"/>
      <c r="I19" s="105"/>
    </row>
    <row r="20" spans="1:11" ht="15" customHeight="1" x14ac:dyDescent="0.3">
      <c r="B20" s="1396"/>
      <c r="C20" s="1397"/>
      <c r="D20" s="98"/>
      <c r="E20" s="103"/>
      <c r="F20" s="104"/>
      <c r="G20" s="98"/>
      <c r="H20" s="103"/>
      <c r="I20" s="105"/>
    </row>
    <row r="21" spans="1:11" ht="15" customHeight="1" x14ac:dyDescent="0.3">
      <c r="B21" s="1396"/>
      <c r="C21" s="1397"/>
      <c r="D21" s="98"/>
      <c r="E21" s="103"/>
      <c r="F21" s="104"/>
      <c r="G21" s="98"/>
      <c r="H21" s="103"/>
      <c r="I21" s="105"/>
      <c r="K21" s="127"/>
    </row>
    <row r="22" spans="1:11" ht="15" customHeight="1" x14ac:dyDescent="0.3">
      <c r="B22" s="1396"/>
      <c r="C22" s="1397"/>
      <c r="D22" s="98"/>
      <c r="E22" s="103"/>
      <c r="F22" s="104"/>
      <c r="G22" s="98"/>
      <c r="H22" s="103"/>
      <c r="I22" s="105"/>
      <c r="K22" s="110" t="s">
        <v>470</v>
      </c>
    </row>
    <row r="23" spans="1:11" ht="15" customHeight="1" x14ac:dyDescent="0.3">
      <c r="B23" s="1398"/>
      <c r="C23" s="1399"/>
      <c r="D23" s="106"/>
      <c r="E23" s="107"/>
      <c r="F23" s="108"/>
      <c r="G23" s="106"/>
      <c r="H23" s="107"/>
      <c r="I23" s="109"/>
      <c r="K23" s="110" t="s">
        <v>471</v>
      </c>
    </row>
    <row r="24" spans="1:11" ht="15" customHeight="1" x14ac:dyDescent="0.3">
      <c r="K24" s="110" t="s">
        <v>32</v>
      </c>
    </row>
    <row r="25" spans="1:11" ht="15" customHeight="1" x14ac:dyDescent="0.3">
      <c r="A25" s="1">
        <f>I13-1</f>
        <v>-9</v>
      </c>
      <c r="B25" s="1357" t="s">
        <v>472</v>
      </c>
      <c r="C25" s="1358"/>
      <c r="D25" s="1358"/>
      <c r="E25" s="1358"/>
      <c r="F25" s="1358"/>
      <c r="G25" s="1358"/>
      <c r="H25" s="1358"/>
      <c r="I25" s="1359"/>
    </row>
    <row r="26" spans="1:11" ht="15" customHeight="1" x14ac:dyDescent="0.3">
      <c r="B26" s="1361"/>
      <c r="C26" s="1362"/>
      <c r="D26" s="1362"/>
      <c r="E26" s="1362"/>
      <c r="F26" s="1362"/>
      <c r="G26" s="1362"/>
      <c r="H26" s="1362"/>
      <c r="I26" s="1363"/>
    </row>
    <row r="27" spans="1:11" ht="15" customHeight="1" x14ac:dyDescent="0.3">
      <c r="B27" s="1364"/>
      <c r="C27" s="1365"/>
      <c r="D27" s="1365"/>
      <c r="E27" s="1365"/>
      <c r="F27" s="1365"/>
      <c r="G27" s="1365"/>
      <c r="H27" s="1365"/>
      <c r="I27" s="1366"/>
    </row>
    <row r="28" spans="1:11" ht="15" customHeight="1" x14ac:dyDescent="0.3">
      <c r="B28" s="1364"/>
      <c r="C28" s="1365"/>
      <c r="D28" s="1365"/>
      <c r="E28" s="1365"/>
      <c r="F28" s="1365"/>
      <c r="G28" s="1365"/>
      <c r="H28" s="1365"/>
      <c r="I28" s="1366"/>
    </row>
    <row r="29" spans="1:11" ht="15" customHeight="1" x14ac:dyDescent="0.3">
      <c r="B29" s="1364"/>
      <c r="C29" s="1365"/>
      <c r="D29" s="1365"/>
      <c r="E29" s="1365"/>
      <c r="F29" s="1365"/>
      <c r="G29" s="1365"/>
      <c r="H29" s="1365"/>
      <c r="I29" s="1366"/>
    </row>
    <row r="30" spans="1:11" ht="15" customHeight="1" x14ac:dyDescent="0.3">
      <c r="B30" s="1364"/>
      <c r="C30" s="1365"/>
      <c r="D30" s="1365"/>
      <c r="E30" s="1365"/>
      <c r="F30" s="1365"/>
      <c r="G30" s="1365"/>
      <c r="H30" s="1365"/>
      <c r="I30" s="1366"/>
    </row>
    <row r="31" spans="1:11" ht="15" customHeight="1" x14ac:dyDescent="0.3">
      <c r="B31" s="1364"/>
      <c r="C31" s="1365"/>
      <c r="D31" s="1365"/>
      <c r="E31" s="1365"/>
      <c r="F31" s="1365"/>
      <c r="G31" s="1365"/>
      <c r="H31" s="1365"/>
      <c r="I31" s="1366"/>
    </row>
    <row r="32" spans="1:11" ht="15" customHeight="1" x14ac:dyDescent="0.3">
      <c r="B32" s="1364"/>
      <c r="C32" s="1365"/>
      <c r="D32" s="1365"/>
      <c r="E32" s="1365"/>
      <c r="F32" s="1365"/>
      <c r="G32" s="1365"/>
      <c r="H32" s="1365"/>
      <c r="I32" s="1366"/>
    </row>
    <row r="33" spans="1:12" ht="15" customHeight="1" x14ac:dyDescent="0.3">
      <c r="B33" s="1367"/>
      <c r="C33" s="1368"/>
      <c r="D33" s="1368"/>
      <c r="E33" s="1368"/>
      <c r="F33" s="1368"/>
      <c r="G33" s="1368"/>
      <c r="H33" s="1368"/>
      <c r="I33" s="1369"/>
    </row>
    <row r="34" spans="1:12" ht="15" customHeight="1" x14ac:dyDescent="0.3"/>
    <row r="35" spans="1:12" ht="25.95" customHeight="1" x14ac:dyDescent="0.3">
      <c r="A35" s="1">
        <f>A25-1</f>
        <v>-10</v>
      </c>
      <c r="B35" s="1097" t="s">
        <v>473</v>
      </c>
      <c r="C35" s="1097"/>
      <c r="D35" s="135"/>
      <c r="F35" s="1389"/>
      <c r="G35" s="1389"/>
      <c r="H35" s="1389"/>
      <c r="I35" s="1389"/>
    </row>
    <row r="36" spans="1:12" ht="15" customHeight="1" x14ac:dyDescent="0.3">
      <c r="K36" s="2" t="s">
        <v>38</v>
      </c>
    </row>
    <row r="37" spans="1:12" ht="15" customHeight="1" x14ac:dyDescent="0.3">
      <c r="A37" s="1">
        <f>A35-1</f>
        <v>-11</v>
      </c>
      <c r="B37" s="1376" t="s">
        <v>474</v>
      </c>
      <c r="C37" s="1377"/>
      <c r="D37" s="1378"/>
      <c r="E37" s="1378"/>
      <c r="F37" s="1378"/>
      <c r="G37" s="1378"/>
      <c r="H37" s="1378"/>
      <c r="I37" s="1379"/>
      <c r="K37" s="2" t="s">
        <v>39</v>
      </c>
      <c r="L37" s="110"/>
    </row>
    <row r="38" spans="1:12" ht="15" customHeight="1" x14ac:dyDescent="0.3">
      <c r="B38" s="1380"/>
      <c r="C38" s="1381"/>
      <c r="D38" s="1381"/>
      <c r="E38" s="1381"/>
      <c r="F38" s="1381"/>
      <c r="G38" s="1381"/>
      <c r="H38" s="1381"/>
      <c r="I38" s="1382"/>
    </row>
    <row r="39" spans="1:12" ht="15" customHeight="1" x14ac:dyDescent="0.3">
      <c r="B39" s="221" t="s">
        <v>38</v>
      </c>
      <c r="C39" s="141"/>
      <c r="D39" s="141"/>
      <c r="E39" s="141"/>
      <c r="F39" s="141"/>
      <c r="G39" s="141"/>
      <c r="H39" s="141"/>
      <c r="I39" s="142"/>
    </row>
    <row r="40" spans="1:12" ht="15" customHeight="1" x14ac:dyDescent="0.3"/>
    <row r="41" spans="1:12" ht="25.95" customHeight="1" x14ac:dyDescent="0.3">
      <c r="A41" s="1">
        <f>A37-1</f>
        <v>-12</v>
      </c>
      <c r="B41" s="1411" t="s">
        <v>475</v>
      </c>
      <c r="C41" s="1412"/>
      <c r="D41" s="1412"/>
      <c r="E41" s="151" t="s">
        <v>38</v>
      </c>
      <c r="F41" s="147"/>
      <c r="G41" s="147"/>
      <c r="H41" s="147"/>
      <c r="I41" s="148"/>
      <c r="L41" s="110"/>
    </row>
    <row r="42" spans="1:12" ht="15" customHeight="1" x14ac:dyDescent="0.3">
      <c r="A42" s="132"/>
      <c r="B42" s="57"/>
      <c r="C42" s="57"/>
      <c r="D42" s="57"/>
      <c r="E42" s="57"/>
      <c r="F42" s="57"/>
      <c r="G42" s="57"/>
      <c r="H42" s="57"/>
      <c r="I42" s="57"/>
    </row>
    <row r="43" spans="1:12" ht="15" customHeight="1" x14ac:dyDescent="0.3">
      <c r="A43" s="1360">
        <f>A41-1</f>
        <v>-13</v>
      </c>
      <c r="B43" s="1383" t="s">
        <v>476</v>
      </c>
      <c r="C43" s="1384"/>
      <c r="D43" s="1384"/>
      <c r="E43" s="1384"/>
      <c r="F43" s="1384"/>
      <c r="G43" s="1384"/>
      <c r="H43" s="1384"/>
      <c r="I43" s="1385"/>
    </row>
    <row r="44" spans="1:12" ht="15" customHeight="1" x14ac:dyDescent="0.3">
      <c r="A44" s="1360"/>
      <c r="B44" s="1386"/>
      <c r="C44" s="1387"/>
      <c r="D44" s="1387"/>
      <c r="E44" s="1387"/>
      <c r="F44" s="1387"/>
      <c r="G44" s="1387"/>
      <c r="H44" s="1387"/>
      <c r="I44" s="1388"/>
    </row>
    <row r="45" spans="1:12" ht="15" customHeight="1" x14ac:dyDescent="0.3">
      <c r="A45" s="1360"/>
      <c r="B45" s="152" t="s">
        <v>38</v>
      </c>
      <c r="C45" s="1391" t="s">
        <v>477</v>
      </c>
      <c r="D45" s="1392"/>
      <c r="E45" s="1392"/>
      <c r="F45" s="1392"/>
      <c r="G45" s="1392"/>
      <c r="H45" s="1392"/>
      <c r="I45" s="1393"/>
      <c r="L45" s="110"/>
    </row>
    <row r="46" spans="1:12" ht="15" customHeight="1" x14ac:dyDescent="0.3">
      <c r="A46" s="1360"/>
      <c r="B46" s="1096" t="s">
        <v>38</v>
      </c>
      <c r="C46" s="1403" t="s">
        <v>478</v>
      </c>
      <c r="D46" s="1404"/>
      <c r="E46" s="1404"/>
      <c r="F46" s="1404"/>
      <c r="G46" s="1404"/>
      <c r="H46" s="1404"/>
      <c r="I46" s="1405"/>
      <c r="L46" s="110"/>
    </row>
    <row r="47" spans="1:12" x14ac:dyDescent="0.3">
      <c r="A47" s="1360"/>
      <c r="B47" s="1409" t="s">
        <v>38</v>
      </c>
      <c r="C47" s="1403" t="s">
        <v>479</v>
      </c>
      <c r="D47" s="1404"/>
      <c r="E47" s="1404"/>
      <c r="F47" s="1404"/>
      <c r="G47" s="1404"/>
      <c r="H47" s="1404"/>
      <c r="I47" s="1405"/>
      <c r="L47" s="110"/>
    </row>
    <row r="48" spans="1:12" x14ac:dyDescent="0.3">
      <c r="A48" s="1360"/>
      <c r="B48" s="1409"/>
      <c r="C48" s="1403"/>
      <c r="D48" s="1404"/>
      <c r="E48" s="1404"/>
      <c r="F48" s="1404"/>
      <c r="G48" s="1404"/>
      <c r="H48" s="1404"/>
      <c r="I48" s="1405"/>
      <c r="L48" s="110"/>
    </row>
    <row r="49" spans="1:12" ht="15" customHeight="1" x14ac:dyDescent="0.3">
      <c r="A49" s="1360"/>
      <c r="B49" s="1096" t="s">
        <v>38</v>
      </c>
      <c r="C49" s="1403" t="s">
        <v>480</v>
      </c>
      <c r="D49" s="1404"/>
      <c r="E49" s="1404"/>
      <c r="F49" s="1404"/>
      <c r="G49" s="1404"/>
      <c r="H49" s="1404"/>
      <c r="I49" s="1405"/>
      <c r="L49" s="110"/>
    </row>
    <row r="50" spans="1:12" ht="15" customHeight="1" x14ac:dyDescent="0.3">
      <c r="A50" s="1360"/>
      <c r="B50" s="1096" t="s">
        <v>38</v>
      </c>
      <c r="C50" s="1403" t="s">
        <v>481</v>
      </c>
      <c r="D50" s="1404"/>
      <c r="E50" s="1404"/>
      <c r="F50" s="1404"/>
      <c r="G50" s="1404"/>
      <c r="H50" s="1404"/>
      <c r="I50" s="1405"/>
      <c r="L50" s="110"/>
    </row>
    <row r="51" spans="1:12" ht="15" customHeight="1" x14ac:dyDescent="0.3">
      <c r="A51" s="1360"/>
      <c r="B51" s="1409" t="s">
        <v>38</v>
      </c>
      <c r="C51" s="1403" t="s">
        <v>482</v>
      </c>
      <c r="D51" s="1404"/>
      <c r="E51" s="1404"/>
      <c r="F51" s="1404"/>
      <c r="G51" s="1404"/>
      <c r="H51" s="1404"/>
      <c r="I51" s="1405"/>
      <c r="L51" s="110"/>
    </row>
    <row r="52" spans="1:12" x14ac:dyDescent="0.3">
      <c r="A52" s="1360"/>
      <c r="B52" s="1410"/>
      <c r="C52" s="1406"/>
      <c r="D52" s="1407"/>
      <c r="E52" s="1407"/>
      <c r="F52" s="1407"/>
      <c r="G52" s="1407"/>
      <c r="H52" s="1407"/>
      <c r="I52" s="1408"/>
      <c r="L52" s="110"/>
    </row>
    <row r="53" spans="1:12" ht="15" customHeight="1" x14ac:dyDescent="0.3">
      <c r="A53" s="132"/>
      <c r="B53" s="57"/>
      <c r="C53" s="57"/>
      <c r="D53" s="57"/>
      <c r="E53" s="57"/>
      <c r="F53" s="57"/>
      <c r="G53" s="57"/>
      <c r="H53" s="57"/>
      <c r="I53" s="57"/>
    </row>
    <row r="54" spans="1:12" ht="15" customHeight="1" x14ac:dyDescent="0.3">
      <c r="A54" s="132"/>
      <c r="B54" s="134" t="s">
        <v>483</v>
      </c>
      <c r="C54" s="134"/>
      <c r="D54" s="133"/>
      <c r="E54" s="57"/>
      <c r="F54" s="57"/>
      <c r="G54" s="57"/>
      <c r="H54" s="57"/>
      <c r="I54" s="57"/>
    </row>
    <row r="55" spans="1:12" ht="15" customHeight="1" x14ac:dyDescent="0.3">
      <c r="A55" s="132"/>
      <c r="B55" s="57"/>
      <c r="C55" s="57"/>
      <c r="D55" s="57"/>
      <c r="E55" s="57"/>
      <c r="F55" s="57"/>
      <c r="G55" s="57"/>
      <c r="H55" s="57"/>
      <c r="I55" s="57"/>
    </row>
    <row r="56" spans="1:12" ht="15" customHeight="1" x14ac:dyDescent="0.3">
      <c r="B56" s="1402">
        <f>A43-1</f>
        <v>-14</v>
      </c>
      <c r="C56" s="1402"/>
      <c r="D56" s="1095">
        <f>B56-1</f>
        <v>-15</v>
      </c>
      <c r="E56" s="1095">
        <f t="shared" ref="E56:I56" si="1">D56-1</f>
        <v>-16</v>
      </c>
      <c r="F56" s="1095">
        <f t="shared" si="1"/>
        <v>-17</v>
      </c>
      <c r="G56" s="1095">
        <f t="shared" si="1"/>
        <v>-18</v>
      </c>
      <c r="H56" s="1">
        <f t="shared" si="1"/>
        <v>-19</v>
      </c>
      <c r="I56" s="1095">
        <f t="shared" si="1"/>
        <v>-20</v>
      </c>
    </row>
    <row r="57" spans="1:12" ht="57.6" customHeight="1" x14ac:dyDescent="0.3">
      <c r="B57" s="1390" t="s">
        <v>484</v>
      </c>
      <c r="C57" s="1390"/>
      <c r="D57" s="1098" t="s">
        <v>485</v>
      </c>
      <c r="E57" s="1098" t="s">
        <v>486</v>
      </c>
      <c r="F57" s="1098" t="s">
        <v>487</v>
      </c>
      <c r="G57" s="1098" t="s">
        <v>488</v>
      </c>
      <c r="H57" s="1093" t="s">
        <v>489</v>
      </c>
      <c r="I57" s="1093" t="s">
        <v>490</v>
      </c>
    </row>
    <row r="58" spans="1:12" ht="15" customHeight="1" x14ac:dyDescent="0.3">
      <c r="B58" s="1395" t="str">
        <f>TEXT(D15,"") &amp; " " &amp; TEXT(B15,"")</f>
        <v xml:space="preserve"> </v>
      </c>
      <c r="C58" s="1395"/>
      <c r="D58" s="144"/>
      <c r="E58" s="124"/>
      <c r="F58" s="60" t="str">
        <f>IF(B15="","",'1-Indication'!$E$15)</f>
        <v/>
      </c>
      <c r="G58" s="129" t="str">
        <f>IFERROR((D58*(1+E58))/F58,"")</f>
        <v/>
      </c>
      <c r="H58" s="97"/>
      <c r="I58" s="112"/>
    </row>
    <row r="59" spans="1:12" ht="15" customHeight="1" x14ac:dyDescent="0.3">
      <c r="B59" s="1394" t="str">
        <f t="shared" ref="B59:B66" si="2">TEXT(D16,"") &amp; " " &amp; TEXT(B16,"")</f>
        <v xml:space="preserve"> </v>
      </c>
      <c r="C59" s="1394"/>
      <c r="D59" s="145"/>
      <c r="E59" s="123"/>
      <c r="F59" s="33" t="str">
        <f>IF(B16="","",'1-Indication'!$E$15)</f>
        <v/>
      </c>
      <c r="G59" s="130" t="str">
        <f t="shared" ref="G59:G66" si="3">IFERROR((D59*(1+E59))/F59,"")</f>
        <v/>
      </c>
      <c r="H59" s="99"/>
      <c r="I59" s="120"/>
    </row>
    <row r="60" spans="1:12" ht="15" customHeight="1" x14ac:dyDescent="0.3">
      <c r="B60" s="1394" t="str">
        <f t="shared" si="2"/>
        <v xml:space="preserve"> </v>
      </c>
      <c r="C60" s="1394"/>
      <c r="D60" s="145"/>
      <c r="E60" s="123"/>
      <c r="F60" s="33" t="str">
        <f>IF(B17="","",'1-Indication'!$E$15)</f>
        <v/>
      </c>
      <c r="G60" s="130" t="str">
        <f t="shared" si="3"/>
        <v/>
      </c>
      <c r="H60" s="99"/>
      <c r="I60" s="120"/>
    </row>
    <row r="61" spans="1:12" ht="15" customHeight="1" x14ac:dyDescent="0.3">
      <c r="B61" s="1394" t="str">
        <f t="shared" si="2"/>
        <v xml:space="preserve"> </v>
      </c>
      <c r="C61" s="1394"/>
      <c r="D61" s="145"/>
      <c r="E61" s="123"/>
      <c r="F61" s="33" t="str">
        <f>IF(B18="","",'1-Indication'!$E$15)</f>
        <v/>
      </c>
      <c r="G61" s="130" t="str">
        <f t="shared" ref="G61" si="4">IFERROR((D61*(1+E61))/F61,"")</f>
        <v/>
      </c>
      <c r="H61" s="99"/>
      <c r="I61" s="120"/>
    </row>
    <row r="62" spans="1:12" ht="15" customHeight="1" x14ac:dyDescent="0.3">
      <c r="B62" s="1394" t="str">
        <f t="shared" si="2"/>
        <v xml:space="preserve"> </v>
      </c>
      <c r="C62" s="1394"/>
      <c r="D62" s="145"/>
      <c r="E62" s="123"/>
      <c r="F62" s="33" t="str">
        <f>IF(B19="","",'1-Indication'!$E$15)</f>
        <v/>
      </c>
      <c r="G62" s="130" t="str">
        <f t="shared" si="3"/>
        <v/>
      </c>
      <c r="H62" s="99"/>
      <c r="I62" s="120"/>
    </row>
    <row r="63" spans="1:12" ht="15" customHeight="1" x14ac:dyDescent="0.3">
      <c r="B63" s="1394" t="str">
        <f t="shared" si="2"/>
        <v xml:space="preserve"> </v>
      </c>
      <c r="C63" s="1394"/>
      <c r="D63" s="145"/>
      <c r="E63" s="123"/>
      <c r="F63" s="33" t="str">
        <f>IF(B20="","",'1-Indication'!$E$15)</f>
        <v/>
      </c>
      <c r="G63" s="130" t="str">
        <f t="shared" si="3"/>
        <v/>
      </c>
      <c r="H63" s="99"/>
      <c r="I63" s="120"/>
    </row>
    <row r="64" spans="1:12" ht="15" customHeight="1" x14ac:dyDescent="0.3">
      <c r="B64" s="1394" t="str">
        <f t="shared" si="2"/>
        <v xml:space="preserve"> </v>
      </c>
      <c r="C64" s="1394"/>
      <c r="D64" s="145"/>
      <c r="E64" s="123"/>
      <c r="F64" s="33" t="str">
        <f>IF(B21="","",'1-Indication'!$E$15)</f>
        <v/>
      </c>
      <c r="G64" s="130" t="str">
        <f t="shared" si="3"/>
        <v/>
      </c>
      <c r="H64" s="99"/>
      <c r="I64" s="120"/>
    </row>
    <row r="65" spans="1:13" ht="15" customHeight="1" x14ac:dyDescent="0.3">
      <c r="B65" s="1394" t="str">
        <f t="shared" si="2"/>
        <v xml:space="preserve"> </v>
      </c>
      <c r="C65" s="1394"/>
      <c r="D65" s="145"/>
      <c r="E65" s="123"/>
      <c r="F65" s="33" t="str">
        <f>IF(B22="","",'1-Indication'!$E$15)</f>
        <v/>
      </c>
      <c r="G65" s="130" t="str">
        <f t="shared" si="3"/>
        <v/>
      </c>
      <c r="H65" s="99"/>
      <c r="I65" s="120"/>
    </row>
    <row r="66" spans="1:13" ht="15" customHeight="1" x14ac:dyDescent="0.3">
      <c r="B66" s="1401" t="str">
        <f t="shared" si="2"/>
        <v xml:space="preserve"> </v>
      </c>
      <c r="C66" s="1401"/>
      <c r="D66" s="146"/>
      <c r="E66" s="128"/>
      <c r="F66" s="136" t="str">
        <f>IF(B23="","",'1-Indication'!$E$15)</f>
        <v/>
      </c>
      <c r="G66" s="131" t="str">
        <f t="shared" si="3"/>
        <v/>
      </c>
      <c r="H66" s="111"/>
      <c r="I66" s="121"/>
    </row>
    <row r="67" spans="1:13" ht="15" customHeight="1" x14ac:dyDescent="0.3">
      <c r="B67" s="1400" t="s">
        <v>293</v>
      </c>
      <c r="C67" s="1400"/>
      <c r="D67" s="126">
        <f>SUMPRODUCT(D58:D66,H58:H66)</f>
        <v>0</v>
      </c>
      <c r="E67" s="126">
        <f>SUMPRODUCT(D58:D66,E58:E66,H58:H66)+SUMPRODUCT(D58:D66,H58:H66)</f>
        <v>0</v>
      </c>
      <c r="F67" s="126" t="str">
        <f>F58</f>
        <v/>
      </c>
      <c r="G67" s="125">
        <f>SUMPRODUCT(G58:G66,H58:H66)</f>
        <v>0</v>
      </c>
      <c r="H67" s="6">
        <f>SUM(H58:H66)</f>
        <v>0</v>
      </c>
      <c r="I67" s="125">
        <f>SUMPRODUCT(H58:H66,I58:I66)</f>
        <v>0</v>
      </c>
    </row>
    <row r="68" spans="1:13" s="10" customFormat="1" ht="15" customHeight="1" x14ac:dyDescent="0.3">
      <c r="B68" s="7"/>
      <c r="C68" s="7"/>
      <c r="D68" s="8"/>
      <c r="E68" s="8"/>
      <c r="F68" s="8"/>
      <c r="G68" s="8"/>
      <c r="H68" s="8"/>
      <c r="I68" s="9"/>
      <c r="J68" s="2"/>
      <c r="K68" s="10" t="s">
        <v>35</v>
      </c>
    </row>
    <row r="69" spans="1:13" s="10" customFormat="1" ht="15" customHeight="1" x14ac:dyDescent="0.3">
      <c r="A69" s="79">
        <f>I56-1</f>
        <v>-21</v>
      </c>
      <c r="B69" s="1373" t="s">
        <v>491</v>
      </c>
      <c r="C69" s="1374"/>
      <c r="D69" s="1374"/>
      <c r="E69" s="1374"/>
      <c r="F69" s="1374"/>
      <c r="G69" s="1374"/>
      <c r="H69" s="1374"/>
      <c r="I69" s="1375"/>
      <c r="J69" s="2"/>
      <c r="K69" s="113" t="s">
        <v>152</v>
      </c>
      <c r="L69" s="113"/>
      <c r="M69" s="113"/>
    </row>
    <row r="70" spans="1:13" s="10" customFormat="1" ht="15" customHeight="1" x14ac:dyDescent="0.3">
      <c r="A70" s="79"/>
      <c r="B70" s="140" t="s">
        <v>152</v>
      </c>
      <c r="C70" s="143"/>
      <c r="D70" s="137"/>
      <c r="E70" s="137"/>
      <c r="F70" s="137"/>
      <c r="G70" s="137"/>
      <c r="H70" s="137"/>
      <c r="I70" s="138"/>
      <c r="J70" s="2"/>
      <c r="K70" s="113" t="s">
        <v>492</v>
      </c>
      <c r="L70" s="113"/>
      <c r="M70" s="113"/>
    </row>
    <row r="71" spans="1:13" s="10" customFormat="1" ht="15" customHeight="1" x14ac:dyDescent="0.3">
      <c r="B71" s="7"/>
      <c r="C71" s="7"/>
      <c r="D71" s="8"/>
      <c r="E71" s="8"/>
      <c r="F71" s="8"/>
      <c r="G71" s="8"/>
      <c r="H71" s="8"/>
      <c r="I71" s="9"/>
      <c r="J71" s="2"/>
    </row>
    <row r="72" spans="1:13" ht="15" customHeight="1" x14ac:dyDescent="0.3">
      <c r="A72" s="1">
        <f>A69-1</f>
        <v>-22</v>
      </c>
      <c r="B72" s="1370" t="s">
        <v>493</v>
      </c>
      <c r="C72" s="1371"/>
      <c r="D72" s="1371"/>
      <c r="E72" s="1371"/>
      <c r="F72" s="1371"/>
      <c r="G72" s="1371"/>
      <c r="H72" s="1371"/>
      <c r="I72" s="1372"/>
    </row>
    <row r="73" spans="1:13" ht="15" customHeight="1" x14ac:dyDescent="0.3">
      <c r="B73" s="1361"/>
      <c r="C73" s="1362"/>
      <c r="D73" s="1362"/>
      <c r="E73" s="1362"/>
      <c r="F73" s="1362"/>
      <c r="G73" s="1362"/>
      <c r="H73" s="1362"/>
      <c r="I73" s="1363"/>
    </row>
    <row r="74" spans="1:13" ht="15" customHeight="1" x14ac:dyDescent="0.3">
      <c r="B74" s="1364"/>
      <c r="C74" s="1365"/>
      <c r="D74" s="1365"/>
      <c r="E74" s="1365"/>
      <c r="F74" s="1365"/>
      <c r="G74" s="1365"/>
      <c r="H74" s="1365"/>
      <c r="I74" s="1366"/>
    </row>
    <row r="75" spans="1:13" ht="15" customHeight="1" x14ac:dyDescent="0.3">
      <c r="B75" s="1364"/>
      <c r="C75" s="1365"/>
      <c r="D75" s="1365"/>
      <c r="E75" s="1365"/>
      <c r="F75" s="1365"/>
      <c r="G75" s="1365"/>
      <c r="H75" s="1365"/>
      <c r="I75" s="1366"/>
    </row>
    <row r="76" spans="1:13" ht="15" customHeight="1" x14ac:dyDescent="0.3">
      <c r="B76" s="1364"/>
      <c r="C76" s="1365"/>
      <c r="D76" s="1365"/>
      <c r="E76" s="1365"/>
      <c r="F76" s="1365"/>
      <c r="G76" s="1365"/>
      <c r="H76" s="1365"/>
      <c r="I76" s="1366"/>
    </row>
    <row r="77" spans="1:13" ht="15" customHeight="1" x14ac:dyDescent="0.3">
      <c r="B77" s="1364"/>
      <c r="C77" s="1365"/>
      <c r="D77" s="1365"/>
      <c r="E77" s="1365"/>
      <c r="F77" s="1365"/>
      <c r="G77" s="1365"/>
      <c r="H77" s="1365"/>
      <c r="I77" s="1366"/>
    </row>
    <row r="78" spans="1:13" ht="15" customHeight="1" x14ac:dyDescent="0.3">
      <c r="B78" s="1364"/>
      <c r="C78" s="1365"/>
      <c r="D78" s="1365"/>
      <c r="E78" s="1365"/>
      <c r="F78" s="1365"/>
      <c r="G78" s="1365"/>
      <c r="H78" s="1365"/>
      <c r="I78" s="1366"/>
    </row>
    <row r="79" spans="1:13" ht="15" customHeight="1" x14ac:dyDescent="0.3">
      <c r="B79" s="1364"/>
      <c r="C79" s="1365"/>
      <c r="D79" s="1365"/>
      <c r="E79" s="1365"/>
      <c r="F79" s="1365"/>
      <c r="G79" s="1365"/>
      <c r="H79" s="1365"/>
      <c r="I79" s="1366"/>
    </row>
    <row r="80" spans="1:13" ht="15" customHeight="1" x14ac:dyDescent="0.3">
      <c r="B80" s="1367"/>
      <c r="C80" s="1368"/>
      <c r="D80" s="1368"/>
      <c r="E80" s="1368"/>
      <c r="F80" s="1368"/>
      <c r="G80" s="1368"/>
      <c r="H80" s="1368"/>
      <c r="I80" s="1369"/>
    </row>
  </sheetData>
  <sheetProtection sheet="1" objects="1" scenarios="1"/>
  <mergeCells count="43">
    <mergeCell ref="B13:C13"/>
    <mergeCell ref="B56:C56"/>
    <mergeCell ref="C50:I50"/>
    <mergeCell ref="C49:I49"/>
    <mergeCell ref="C46:I46"/>
    <mergeCell ref="C47:I48"/>
    <mergeCell ref="C51:I52"/>
    <mergeCell ref="B51:B52"/>
    <mergeCell ref="B47:B48"/>
    <mergeCell ref="B41:D41"/>
    <mergeCell ref="B14:C14"/>
    <mergeCell ref="B16:C16"/>
    <mergeCell ref="B15:C15"/>
    <mergeCell ref="B19:C19"/>
    <mergeCell ref="B18:C18"/>
    <mergeCell ref="B67:C67"/>
    <mergeCell ref="B66:C66"/>
    <mergeCell ref="B65:C65"/>
    <mergeCell ref="B64:C64"/>
    <mergeCell ref="B63:C63"/>
    <mergeCell ref="B59:C59"/>
    <mergeCell ref="B58:C58"/>
    <mergeCell ref="B17:C17"/>
    <mergeCell ref="B23:C23"/>
    <mergeCell ref="B22:C22"/>
    <mergeCell ref="B21:C21"/>
    <mergeCell ref="B20:C20"/>
    <mergeCell ref="A5:I5"/>
    <mergeCell ref="B8:E8"/>
    <mergeCell ref="A43:A52"/>
    <mergeCell ref="B73:I80"/>
    <mergeCell ref="B72:I72"/>
    <mergeCell ref="B69:I69"/>
    <mergeCell ref="B25:I25"/>
    <mergeCell ref="B26:I33"/>
    <mergeCell ref="B37:I38"/>
    <mergeCell ref="B43:I44"/>
    <mergeCell ref="F35:I35"/>
    <mergeCell ref="B57:C57"/>
    <mergeCell ref="C45:I45"/>
    <mergeCell ref="B62:C62"/>
    <mergeCell ref="B61:C61"/>
    <mergeCell ref="B60:C60"/>
  </mergeCells>
  <conditionalFormatting sqref="B15:B23 D15:I23">
    <cfRule type="expression" dxfId="73" priority="8">
      <formula>AND($B$15="",$B$9="Yes")</formula>
    </cfRule>
  </conditionalFormatting>
  <conditionalFormatting sqref="B45:B52">
    <cfRule type="expression" dxfId="72" priority="3">
      <formula>AND($B45="Unconfirmed",$B$9="Yes")</formula>
    </cfRule>
  </conditionalFormatting>
  <conditionalFormatting sqref="B58:B66 D58:I66">
    <cfRule type="expression" dxfId="71" priority="18">
      <formula>AND($B$58=" ",$B$9="Yes")</formula>
    </cfRule>
  </conditionalFormatting>
  <conditionalFormatting sqref="B26:C26">
    <cfRule type="expression" dxfId="70" priority="16">
      <formula>AND($B$26="",$B$9="Yes")</formula>
    </cfRule>
  </conditionalFormatting>
  <conditionalFormatting sqref="B72:C72">
    <cfRule type="expression" dxfId="69" priority="50">
      <formula>NOT(ROUND($G$67,3)=ROUND($I$67,3))</formula>
    </cfRule>
  </conditionalFormatting>
  <conditionalFormatting sqref="B73:C76">
    <cfRule type="expression" dxfId="68" priority="54">
      <formula>AND(NOT(ROUND($G$67,3)=ROUND($I$67,3)),$B$73="")</formula>
    </cfRule>
  </conditionalFormatting>
  <conditionalFormatting sqref="B9:E9">
    <cfRule type="expression" dxfId="67" priority="2">
      <formula>$B$9="Select"</formula>
    </cfRule>
  </conditionalFormatting>
  <conditionalFormatting sqref="B39:I39">
    <cfRule type="expression" dxfId="66" priority="60">
      <formula>AND($B$39="Unconfirmed",$B$9="Yes")</formula>
    </cfRule>
  </conditionalFormatting>
  <conditionalFormatting sqref="B70:I70">
    <cfRule type="expression" dxfId="65" priority="14">
      <formula>AND(OR($B$70="Select",$B$70=""),$B$9="Yes")</formula>
    </cfRule>
  </conditionalFormatting>
  <conditionalFormatting sqref="D35">
    <cfRule type="expression" dxfId="64" priority="17">
      <formula>AND($D$35="",$B$9="Yes")</formula>
    </cfRule>
  </conditionalFormatting>
  <conditionalFormatting sqref="D58:E66 H58:I66">
    <cfRule type="expression" dxfId="63" priority="7">
      <formula>AND(NOT($B58=" "),D58="",$B$9="Yes")</formula>
    </cfRule>
  </conditionalFormatting>
  <conditionalFormatting sqref="D15:I23">
    <cfRule type="expression" dxfId="62" priority="11">
      <formula>AND(NOT($B15=""),D15="",$B$9="Yes")</formula>
    </cfRule>
  </conditionalFormatting>
  <conditionalFormatting sqref="E41:I41">
    <cfRule type="expression" dxfId="61" priority="63">
      <formula>AND($E$41="Unconfirmed",$B$9="Yes")</formula>
    </cfRule>
  </conditionalFormatting>
  <conditionalFormatting sqref="I2:I3">
    <cfRule type="cellIs" dxfId="60" priority="1" operator="equal">
      <formula>""</formula>
    </cfRule>
  </conditionalFormatting>
  <dataValidations count="7">
    <dataValidation showInputMessage="1" showErrorMessage="1" sqref="C70 B58:B66" xr:uid="{00000000-0002-0000-1200-000000000000}"/>
    <dataValidation type="decimal" allowBlank="1" showErrorMessage="1" error="Weights must be between 0% and 100%." sqref="H58:H66" xr:uid="{00000000-0002-0000-1200-000001000000}">
      <formula1>0</formula1>
      <formula2>1</formula2>
    </dataValidation>
    <dataValidation type="list" showInputMessage="1" showErrorMessage="1" sqref="I15:I23" xr:uid="{00000000-0002-0000-1200-000003000000}">
      <formula1>$K$14:$K$18</formula1>
    </dataValidation>
    <dataValidation type="list" showInputMessage="1" showErrorMessage="1" sqref="G15:H23" xr:uid="{00000000-0002-0000-1200-000004000000}">
      <formula1>$K$21:$K$24</formula1>
    </dataValidation>
    <dataValidation type="list" allowBlank="1" showInputMessage="1" showErrorMessage="1" sqref="B9" xr:uid="{00000000-0002-0000-1200-000005000000}">
      <formula1>$K$9:$K$11</formula1>
    </dataValidation>
    <dataValidation type="list" allowBlank="1" showInputMessage="1" showErrorMessage="1" sqref="B39 B45:B52 E41" xr:uid="{00000000-0002-0000-1200-000006000000}">
      <formula1>$K$36:$K$37</formula1>
    </dataValidation>
    <dataValidation type="list" showInputMessage="1" showErrorMessage="1" sqref="B70" xr:uid="{00000000-0002-0000-1200-000007000000}">
      <formula1>$K$68:$K$70</formula1>
    </dataValidation>
  </dataValidations>
  <hyperlinks>
    <hyperlink ref="B43:I44" r:id="rId1" display="Refer to Commissioner’s Bulletin #B-0030-10 at www.tdi.texas.gov/bulletins/2010/cc29.html and provide all the support required when using catastrophe models in ratemaking.  Confirm that the following  support is provided:" xr:uid="{9F2E63E4-7C61-43D7-8720-36EC74C17018}"/>
  </hyperlinks>
  <printOptions horizontalCentered="1"/>
  <pageMargins left="0.25" right="0.5" top="0.5" bottom="0.5" header="0.3" footer="0.3"/>
  <pageSetup scale="80" fitToHeight="2" orientation="portrait" r:id="rId2"/>
  <rowBreaks count="1" manualBreakCount="1">
    <brk id="52" max="8" man="1"/>
  </rowBreak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H51"/>
  <sheetViews>
    <sheetView showGridLines="0" zoomScaleNormal="100" zoomScaleSheetLayoutView="100" workbookViewId="0"/>
  </sheetViews>
  <sheetFormatPr defaultColWidth="8.88671875" defaultRowHeight="19.2" x14ac:dyDescent="0.45"/>
  <cols>
    <col min="1" max="1" width="5.6640625" style="741" customWidth="1"/>
    <col min="2" max="3" width="14.6640625" style="257" customWidth="1"/>
    <col min="4" max="5" width="13.6640625" style="257" customWidth="1"/>
    <col min="6" max="7" width="14.88671875" style="257" customWidth="1"/>
    <col min="8" max="8" width="13.88671875" style="257" customWidth="1"/>
    <col min="9" max="9" width="8.88671875" style="257"/>
    <col min="10" max="11" width="8.88671875" style="257" customWidth="1"/>
    <col min="12" max="16384" width="8.88671875" style="257"/>
  </cols>
  <sheetData>
    <row r="1" spans="1:7" x14ac:dyDescent="0.45">
      <c r="A1" s="1055" t="str">
        <f>'General Information'!$A$1</f>
        <v>Texas Department of Insurance</v>
      </c>
    </row>
    <row r="2" spans="1:7" x14ac:dyDescent="0.45">
      <c r="A2" s="1055" t="str">
        <f>'General Information'!$A$2</f>
        <v>Property and Casualty Rate Filing Exhibits</v>
      </c>
      <c r="E2" s="160" t="s">
        <v>97</v>
      </c>
      <c r="F2" s="1018" t="str">
        <f>'General Information'!$E$2</f>
        <v>Fill out Gen Info</v>
      </c>
    </row>
    <row r="3" spans="1:7" x14ac:dyDescent="0.45">
      <c r="A3" s="1055" t="str">
        <f>'General Information'!$A$3</f>
        <v>Rate Filing Template (2025 Edition)</v>
      </c>
      <c r="E3" s="160" t="s">
        <v>98</v>
      </c>
      <c r="F3" s="1018" t="str">
        <f>'General Information'!$E$3</f>
        <v>Fill out Gen Info</v>
      </c>
    </row>
    <row r="5" spans="1:7" x14ac:dyDescent="0.45">
      <c r="A5" s="1132" t="s">
        <v>494</v>
      </c>
      <c r="B5" s="1133"/>
      <c r="C5" s="1133"/>
      <c r="D5" s="1133"/>
      <c r="E5" s="1133"/>
      <c r="F5" s="1133"/>
      <c r="G5" s="1133"/>
    </row>
    <row r="8" spans="1:7" x14ac:dyDescent="0.45">
      <c r="B8" s="350">
        <v>-1</v>
      </c>
      <c r="C8" s="291">
        <f>B8-1</f>
        <v>-2</v>
      </c>
      <c r="D8" s="291">
        <f>C8-1</f>
        <v>-3</v>
      </c>
      <c r="E8" s="291">
        <f>D8-1</f>
        <v>-4</v>
      </c>
      <c r="F8" s="291">
        <f t="shared" ref="F8:G8" si="0">E8-1</f>
        <v>-5</v>
      </c>
      <c r="G8" s="291">
        <f t="shared" si="0"/>
        <v>-6</v>
      </c>
    </row>
    <row r="9" spans="1:7" ht="76.8" x14ac:dyDescent="0.45">
      <c r="B9" s="1022" t="s">
        <v>22</v>
      </c>
      <c r="C9" s="1022" t="str">
        <f>IF('General Information'!B18='Drop Down Lists and Formatting'!A40,"Countrywide Incurred Loss","Countrywide Incurred Loss
&amp; DCCE")</f>
        <v>Countrywide Incurred Loss
&amp; DCCE</v>
      </c>
      <c r="D9" s="1022" t="str">
        <f>IF('General Information'!B18='Drop Down Lists and Formatting'!A40,"Countrywide Incurred DCCE","Not Applicable
Disregard")</f>
        <v>Not Applicable
Disregard</v>
      </c>
      <c r="E9" s="1022" t="str">
        <f>IF('General Information'!B18='Drop Down Lists and Formatting'!A40,"Countrywide DCCE Ratio","Not Applicable
Disregard")</f>
        <v>Not Applicable
Disregard</v>
      </c>
      <c r="F9" s="1022" t="s">
        <v>495</v>
      </c>
      <c r="G9" s="1022" t="s">
        <v>496</v>
      </c>
    </row>
    <row r="10" spans="1:7" x14ac:dyDescent="0.45">
      <c r="B10" s="871" t="str">
        <f>'D-Historical Experience'!A13</f>
        <v>20__</v>
      </c>
      <c r="C10" s="872">
        <f>'E-Expense'!E34</f>
        <v>0</v>
      </c>
      <c r="D10" s="557">
        <f>'E-Expense'!E35</f>
        <v>0</v>
      </c>
      <c r="E10" s="354">
        <f>IFERROR(D10/C10,0)</f>
        <v>0</v>
      </c>
      <c r="F10" s="557">
        <f>'E-Expense'!E36</f>
        <v>0</v>
      </c>
      <c r="G10" s="354">
        <f>IFERROR(F10/C10,0)</f>
        <v>0</v>
      </c>
    </row>
    <row r="11" spans="1:7" x14ac:dyDescent="0.45">
      <c r="B11" s="351" t="str">
        <f>'D-Historical Experience'!A14</f>
        <v>20__</v>
      </c>
      <c r="C11" s="873">
        <f>'E-Expense'!G34</f>
        <v>0</v>
      </c>
      <c r="D11" s="557">
        <f>'E-Expense'!G35</f>
        <v>0</v>
      </c>
      <c r="E11" s="354">
        <f>IFERROR(D11/C11,0)</f>
        <v>0</v>
      </c>
      <c r="F11" s="557">
        <f>'E-Expense'!G36</f>
        <v>0</v>
      </c>
      <c r="G11" s="354">
        <f>IFERROR(F11/C11,0)</f>
        <v>0</v>
      </c>
    </row>
    <row r="12" spans="1:7" x14ac:dyDescent="0.45">
      <c r="B12" s="359" t="str">
        <f>'D-Historical Experience'!A15</f>
        <v>20__</v>
      </c>
      <c r="C12" s="874">
        <f>'E-Expense'!I34</f>
        <v>0</v>
      </c>
      <c r="D12" s="565">
        <f>'E-Expense'!I35</f>
        <v>0</v>
      </c>
      <c r="E12" s="354">
        <f>IFERROR(D12/C12,0)</f>
        <v>0</v>
      </c>
      <c r="F12" s="565">
        <f>'E-Expense'!I36</f>
        <v>0</v>
      </c>
      <c r="G12" s="354">
        <f>IFERROR(F12/C12,0)</f>
        <v>0</v>
      </c>
    </row>
    <row r="13" spans="1:7" x14ac:dyDescent="0.45">
      <c r="B13" s="875" t="s">
        <v>293</v>
      </c>
      <c r="C13" s="876">
        <f>C10+C11+C12</f>
        <v>0</v>
      </c>
      <c r="D13" s="877">
        <f>D10+D11+D12</f>
        <v>0</v>
      </c>
      <c r="E13" s="878">
        <f>IFERROR(AVERAGE(E10:E12),0)</f>
        <v>0</v>
      </c>
      <c r="F13" s="877">
        <f>F10+F11+F12</f>
        <v>0</v>
      </c>
      <c r="G13" s="878">
        <f>IFERROR(AVERAGE(G10:G12),0)</f>
        <v>0</v>
      </c>
    </row>
    <row r="14" spans="1:7" x14ac:dyDescent="0.45">
      <c r="A14" s="478"/>
    </row>
    <row r="15" spans="1:7" x14ac:dyDescent="0.45">
      <c r="B15" s="350">
        <f>G8-1</f>
        <v>-7</v>
      </c>
      <c r="C15" s="291">
        <f>B15-1</f>
        <v>-8</v>
      </c>
      <c r="D15" s="291">
        <f t="shared" ref="D15" si="1">C15-1</f>
        <v>-9</v>
      </c>
      <c r="E15" s="291">
        <f>D15-1</f>
        <v>-10</v>
      </c>
    </row>
    <row r="16" spans="1:7" ht="76.8" x14ac:dyDescent="0.45">
      <c r="B16" s="1022" t="s">
        <v>22</v>
      </c>
      <c r="C16" s="1022" t="str">
        <f>IF('General Information'!B18='Drop Down Lists and Formatting'!A40,"Statewide Incurred Loss","Statewide Incurred Loss
&amp; DCCE")</f>
        <v>Statewide Incurred Loss
&amp; DCCE</v>
      </c>
      <c r="D16" s="1022" t="str">
        <f>IF('General Information'!B18='Drop Down Lists and Formatting'!A40,"Statewide Incurred DCCE","Not Applicable
Disregard")</f>
        <v>Not Applicable
Disregard</v>
      </c>
      <c r="E16" s="1022" t="str">
        <f>IF('General Information'!B18='Drop Down Lists and Formatting'!A40,"Statewide DCCE Ratio","Not Applicable
Disregard")</f>
        <v>Not Applicable
Disregard</v>
      </c>
    </row>
    <row r="17" spans="1:8" x14ac:dyDescent="0.45">
      <c r="B17" s="871" t="str">
        <f>B10</f>
        <v>20__</v>
      </c>
      <c r="C17" s="879">
        <f>'E-Expense'!E14</f>
        <v>0</v>
      </c>
      <c r="D17" s="880">
        <f>'E-Expense'!E15</f>
        <v>0</v>
      </c>
      <c r="E17" s="364">
        <f>IFERROR(D17/C17,0)</f>
        <v>0</v>
      </c>
    </row>
    <row r="18" spans="1:8" x14ac:dyDescent="0.45">
      <c r="B18" s="351" t="str">
        <f>B11</f>
        <v>20__</v>
      </c>
      <c r="C18" s="872">
        <f>'E-Expense'!G14</f>
        <v>0</v>
      </c>
      <c r="D18" s="881">
        <f>'E-Expense'!G15</f>
        <v>0</v>
      </c>
      <c r="E18" s="354">
        <f>IFERROR(D18/C18,0)</f>
        <v>0</v>
      </c>
    </row>
    <row r="19" spans="1:8" x14ac:dyDescent="0.45">
      <c r="B19" s="359" t="str">
        <f>B12</f>
        <v>20__</v>
      </c>
      <c r="C19" s="874">
        <f>'E-Expense'!I14</f>
        <v>0</v>
      </c>
      <c r="D19" s="882">
        <f>'E-Expense'!I15</f>
        <v>0</v>
      </c>
      <c r="E19" s="354">
        <f>IFERROR(D19/C19,0)</f>
        <v>0</v>
      </c>
    </row>
    <row r="20" spans="1:8" x14ac:dyDescent="0.45">
      <c r="B20" s="575" t="s">
        <v>412</v>
      </c>
      <c r="C20" s="876">
        <f>C17+C18+C19</f>
        <v>0</v>
      </c>
      <c r="D20" s="877">
        <f>D17+D18+D19</f>
        <v>0</v>
      </c>
      <c r="E20" s="878">
        <f>IFERROR(AVERAGE(E17:E19),0)</f>
        <v>0</v>
      </c>
    </row>
    <row r="23" spans="1:8" x14ac:dyDescent="0.45">
      <c r="B23" s="1173" t="s">
        <v>355</v>
      </c>
      <c r="C23" s="1174"/>
    </row>
    <row r="24" spans="1:8" x14ac:dyDescent="0.45">
      <c r="A24" s="478">
        <f>E15-1</f>
        <v>-11</v>
      </c>
      <c r="B24" s="866" t="str">
        <f>IF('General Information'!B18='Drop Down Lists and Formatting'!A40,"DCCE Ratio","Not Applicable")</f>
        <v>Not Applicable</v>
      </c>
      <c r="C24" s="883"/>
    </row>
    <row r="25" spans="1:8" x14ac:dyDescent="0.45">
      <c r="A25" s="478">
        <f>A24-1</f>
        <v>-12</v>
      </c>
      <c r="B25" s="638" t="s">
        <v>497</v>
      </c>
      <c r="C25" s="884"/>
    </row>
    <row r="26" spans="1:8" x14ac:dyDescent="0.45">
      <c r="A26" s="478"/>
      <c r="B26" s="372"/>
    </row>
    <row r="27" spans="1:8" x14ac:dyDescent="0.45">
      <c r="A27" s="478">
        <f>A25-1</f>
        <v>-13</v>
      </c>
      <c r="B27" s="1186" t="str">
        <f>IF('General Information'!B18='Drop Down Lists and Formatting'!A40,"Provide reasoning for the selected DCCE and A&amp;O Ratios.","Provide reasoning for the selected A&amp;O Ratio.")</f>
        <v>Provide reasoning for the selected A&amp;O Ratio.</v>
      </c>
      <c r="C27" s="1187"/>
      <c r="D27" s="1187"/>
      <c r="E27" s="1187"/>
      <c r="F27" s="1187"/>
      <c r="G27" s="1188"/>
      <c r="H27" s="885"/>
    </row>
    <row r="28" spans="1:8" x14ac:dyDescent="0.45">
      <c r="B28" s="1417" t="s">
        <v>498</v>
      </c>
      <c r="C28" s="1142"/>
      <c r="D28" s="1142"/>
      <c r="E28" s="1142"/>
      <c r="F28" s="1142"/>
      <c r="G28" s="1418"/>
      <c r="H28" s="885"/>
    </row>
    <row r="29" spans="1:8" x14ac:dyDescent="0.45">
      <c r="B29" s="1251"/>
      <c r="C29" s="1252"/>
      <c r="D29" s="1252"/>
      <c r="E29" s="1252"/>
      <c r="F29" s="1252"/>
      <c r="G29" s="1253"/>
      <c r="H29" s="766"/>
    </row>
    <row r="30" spans="1:8" x14ac:dyDescent="0.45">
      <c r="B30" s="1180"/>
      <c r="C30" s="1181"/>
      <c r="D30" s="1181"/>
      <c r="E30" s="1181"/>
      <c r="F30" s="1181"/>
      <c r="G30" s="1182"/>
      <c r="H30" s="766"/>
    </row>
    <row r="31" spans="1:8" x14ac:dyDescent="0.45">
      <c r="B31" s="1180"/>
      <c r="C31" s="1181"/>
      <c r="D31" s="1181"/>
      <c r="E31" s="1181"/>
      <c r="F31" s="1181"/>
      <c r="G31" s="1182"/>
      <c r="H31" s="766"/>
    </row>
    <row r="32" spans="1:8" x14ac:dyDescent="0.45">
      <c r="B32" s="1180"/>
      <c r="C32" s="1181"/>
      <c r="D32" s="1181"/>
      <c r="E32" s="1181"/>
      <c r="F32" s="1181"/>
      <c r="G32" s="1182"/>
      <c r="H32" s="766"/>
    </row>
    <row r="33" spans="1:8" x14ac:dyDescent="0.45">
      <c r="B33" s="1180"/>
      <c r="C33" s="1181"/>
      <c r="D33" s="1181"/>
      <c r="E33" s="1181"/>
      <c r="F33" s="1181"/>
      <c r="G33" s="1182"/>
      <c r="H33" s="766"/>
    </row>
    <row r="34" spans="1:8" x14ac:dyDescent="0.45">
      <c r="B34" s="1180"/>
      <c r="C34" s="1181"/>
      <c r="D34" s="1181"/>
      <c r="E34" s="1181"/>
      <c r="F34" s="1181"/>
      <c r="G34" s="1182"/>
      <c r="H34" s="766"/>
    </row>
    <row r="35" spans="1:8" x14ac:dyDescent="0.45">
      <c r="B35" s="1180"/>
      <c r="C35" s="1181"/>
      <c r="D35" s="1181"/>
      <c r="E35" s="1181"/>
      <c r="F35" s="1181"/>
      <c r="G35" s="1182"/>
      <c r="H35" s="766"/>
    </row>
    <row r="36" spans="1:8" x14ac:dyDescent="0.45">
      <c r="B36" s="1183"/>
      <c r="C36" s="1184"/>
      <c r="D36" s="1184"/>
      <c r="E36" s="1184"/>
      <c r="F36" s="1184"/>
      <c r="G36" s="1185"/>
      <c r="H36" s="766"/>
    </row>
    <row r="39" spans="1:8" x14ac:dyDescent="0.45">
      <c r="A39" s="744" t="s">
        <v>301</v>
      </c>
    </row>
    <row r="40" spans="1:8" x14ac:dyDescent="0.45">
      <c r="A40" s="478">
        <v>-1</v>
      </c>
      <c r="B40" s="257" t="s">
        <v>229</v>
      </c>
    </row>
    <row r="41" spans="1:8" x14ac:dyDescent="0.45">
      <c r="A41" s="478">
        <f>A40-1</f>
        <v>-2</v>
      </c>
      <c r="B41" s="257" t="s">
        <v>499</v>
      </c>
    </row>
    <row r="42" spans="1:8" x14ac:dyDescent="0.45">
      <c r="A42" s="478">
        <f>A41-1</f>
        <v>-3</v>
      </c>
      <c r="B42" s="257" t="str">
        <f>IF('General Information'!B18='Drop Down Lists and Formatting'!A40,"From Exhibit E-Expense","N/A - Disregard")</f>
        <v>N/A - Disregard</v>
      </c>
    </row>
    <row r="43" spans="1:8" x14ac:dyDescent="0.45">
      <c r="A43" s="478">
        <f t="shared" ref="A43:A51" si="2">A42-1</f>
        <v>-4</v>
      </c>
      <c r="B43" s="257" t="str">
        <f>IF('General Information'!B18='Drop Down Lists and Formatting'!A40,"= (3) / (2)","N/A - Disregard")</f>
        <v>N/A - Disregard</v>
      </c>
    </row>
    <row r="44" spans="1:8" x14ac:dyDescent="0.45">
      <c r="A44" s="478">
        <f t="shared" si="2"/>
        <v>-5</v>
      </c>
      <c r="B44" s="257" t="s">
        <v>499</v>
      </c>
    </row>
    <row r="45" spans="1:8" x14ac:dyDescent="0.45">
      <c r="A45" s="478">
        <f t="shared" si="2"/>
        <v>-6</v>
      </c>
      <c r="B45" s="372" t="s">
        <v>500</v>
      </c>
    </row>
    <row r="46" spans="1:8" x14ac:dyDescent="0.45">
      <c r="A46" s="478">
        <f t="shared" si="2"/>
        <v>-7</v>
      </c>
      <c r="B46" s="372" t="s">
        <v>501</v>
      </c>
    </row>
    <row r="47" spans="1:8" x14ac:dyDescent="0.45">
      <c r="A47" s="478">
        <f t="shared" si="2"/>
        <v>-8</v>
      </c>
      <c r="B47" s="257" t="s">
        <v>499</v>
      </c>
    </row>
    <row r="48" spans="1:8" x14ac:dyDescent="0.45">
      <c r="A48" s="478">
        <f t="shared" si="2"/>
        <v>-9</v>
      </c>
      <c r="B48" s="372" t="str">
        <f>B42</f>
        <v>N/A - Disregard</v>
      </c>
    </row>
    <row r="49" spans="1:2" x14ac:dyDescent="0.45">
      <c r="A49" s="478">
        <f t="shared" si="2"/>
        <v>-10</v>
      </c>
      <c r="B49" s="257" t="str">
        <f>IF('General Information'!B18='Drop Down Lists and Formatting'!A40,"= (9) / (8)","N/A - Disregard")</f>
        <v>N/A - Disregard</v>
      </c>
    </row>
    <row r="50" spans="1:2" x14ac:dyDescent="0.45">
      <c r="A50" s="478">
        <f t="shared" si="2"/>
        <v>-11</v>
      </c>
      <c r="B50" s="257" t="str">
        <f>IF('General Information'!B18='Drop Down Lists and Formatting'!A40,"Company-provided","N/A - Disregard")</f>
        <v>N/A - Disregard</v>
      </c>
    </row>
    <row r="51" spans="1:2" x14ac:dyDescent="0.45">
      <c r="A51" s="478">
        <f t="shared" si="2"/>
        <v>-12</v>
      </c>
      <c r="B51" s="370" t="s">
        <v>266</v>
      </c>
    </row>
  </sheetData>
  <sheetProtection sheet="1" objects="1" scenarios="1"/>
  <mergeCells count="5">
    <mergeCell ref="B23:C23"/>
    <mergeCell ref="B29:G36"/>
    <mergeCell ref="B27:G27"/>
    <mergeCell ref="B28:G28"/>
    <mergeCell ref="A5:G5"/>
  </mergeCells>
  <conditionalFormatting sqref="B29:G36">
    <cfRule type="expression" dxfId="59" priority="3">
      <formula>$B$29=""</formula>
    </cfRule>
  </conditionalFormatting>
  <conditionalFormatting sqref="C24:C25">
    <cfRule type="expression" dxfId="58" priority="5">
      <formula>$C24=""</formula>
    </cfRule>
  </conditionalFormatting>
  <conditionalFormatting sqref="D10:E13 D17:E20 C24">
    <cfRule type="expression" dxfId="57" priority="2">
      <formula>$B$24="Not Applicable"</formula>
    </cfRule>
  </conditionalFormatting>
  <conditionalFormatting sqref="F2:F3">
    <cfRule type="cellIs" dxfId="56" priority="1" operator="equal">
      <formula>""</formula>
    </cfRule>
  </conditionalFormatting>
  <printOptions horizontalCentered="1"/>
  <pageMargins left="0.5" right="0.5" top="0.5" bottom="0.5" header="0.3" footer="0.3"/>
  <pageSetup fitToWidth="0" fitToHeight="0" orientation="portrait" r:id="rId1"/>
  <rowBreaks count="1" manualBreakCount="1">
    <brk id="26" max="16383" man="1"/>
  </rowBreaks>
  <ignoredErrors>
    <ignoredError sqref="B17:B19" unlockedFormula="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K126"/>
  <sheetViews>
    <sheetView showGridLines="0" zoomScale="115" zoomScaleNormal="115" zoomScaleSheetLayoutView="100" zoomScalePageLayoutView="55" workbookViewId="0"/>
  </sheetViews>
  <sheetFormatPr defaultColWidth="8.88671875" defaultRowHeight="14.4" x14ac:dyDescent="0.3"/>
  <cols>
    <col min="1" max="1" width="4.6640625" style="1" customWidth="1"/>
    <col min="2" max="2" width="2.33203125" style="2" customWidth="1"/>
    <col min="3" max="3" width="34.33203125" style="2" customWidth="1"/>
    <col min="4" max="7" width="13.6640625" style="2" customWidth="1"/>
    <col min="8" max="8" width="12.6640625" style="13" customWidth="1"/>
    <col min="9" max="10" width="8.88671875" style="2"/>
    <col min="11" max="11" width="8.88671875" style="2" hidden="1" customWidth="1"/>
    <col min="12" max="16384" width="8.88671875" style="2"/>
  </cols>
  <sheetData>
    <row r="1" spans="1:8" ht="19.2" x14ac:dyDescent="0.45">
      <c r="A1" s="1055" t="str">
        <f>'General Information'!$A$1</f>
        <v>Texas Department of Insurance</v>
      </c>
      <c r="H1" s="2"/>
    </row>
    <row r="2" spans="1:8" ht="19.2" x14ac:dyDescent="0.45">
      <c r="A2" s="1055" t="str">
        <f>'General Information'!$A$2</f>
        <v>Property and Casualty Rate Filing Exhibits</v>
      </c>
      <c r="F2" s="160" t="s">
        <v>97</v>
      </c>
      <c r="G2" s="1018" t="str">
        <f>'General Information'!$E$2</f>
        <v>Fill out Gen Info</v>
      </c>
    </row>
    <row r="3" spans="1:8" ht="19.2" x14ac:dyDescent="0.45">
      <c r="A3" s="1055" t="str">
        <f>'General Information'!$A$3</f>
        <v>Rate Filing Template (2025 Edition)</v>
      </c>
      <c r="F3" s="160" t="s">
        <v>98</v>
      </c>
      <c r="G3" s="1018" t="str">
        <f>'General Information'!$E$3</f>
        <v>Fill out Gen Info</v>
      </c>
    </row>
    <row r="4" spans="1:8" x14ac:dyDescent="0.3">
      <c r="A4" s="14"/>
    </row>
    <row r="5" spans="1:8" ht="15.6" x14ac:dyDescent="0.3">
      <c r="A5" s="1419" t="s">
        <v>502</v>
      </c>
      <c r="B5" s="1420"/>
      <c r="C5" s="1420"/>
      <c r="D5" s="1420"/>
      <c r="E5" s="1420"/>
      <c r="F5" s="1420"/>
      <c r="G5" s="1420"/>
      <c r="H5" s="1420"/>
    </row>
    <row r="6" spans="1:8" x14ac:dyDescent="0.3">
      <c r="H6" s="2"/>
    </row>
    <row r="8" spans="1:8" x14ac:dyDescent="0.3">
      <c r="A8" s="11" t="s">
        <v>503</v>
      </c>
      <c r="B8" s="5"/>
      <c r="C8" s="222"/>
      <c r="D8" s="1400" t="s">
        <v>22</v>
      </c>
      <c r="E8" s="1400"/>
      <c r="F8" s="1400"/>
      <c r="G8" s="1400"/>
      <c r="H8" s="12" t="s">
        <v>355</v>
      </c>
    </row>
    <row r="9" spans="1:8" x14ac:dyDescent="0.3">
      <c r="A9" s="15"/>
      <c r="B9" s="16"/>
      <c r="C9" s="17"/>
      <c r="D9" s="122" t="str">
        <f>'D-Historical Experience'!A13</f>
        <v>20__</v>
      </c>
      <c r="E9" s="122" t="str">
        <f>'D-Historical Experience'!A14</f>
        <v>20__</v>
      </c>
      <c r="F9" s="122" t="str">
        <f>'D-Historical Experience'!A15</f>
        <v>20__</v>
      </c>
      <c r="G9" s="1094" t="s">
        <v>293</v>
      </c>
      <c r="H9" s="18"/>
    </row>
    <row r="10" spans="1:8" x14ac:dyDescent="0.3">
      <c r="A10" s="82">
        <v>-1</v>
      </c>
      <c r="B10" s="83" t="s">
        <v>504</v>
      </c>
      <c r="C10" s="84"/>
      <c r="D10" s="85"/>
      <c r="E10" s="85"/>
      <c r="F10" s="85"/>
      <c r="G10" s="85"/>
      <c r="H10" s="86"/>
    </row>
    <row r="11" spans="1:8" x14ac:dyDescent="0.3">
      <c r="A11" s="19"/>
      <c r="B11" s="20" t="s">
        <v>238</v>
      </c>
      <c r="C11" s="191" t="s">
        <v>505</v>
      </c>
      <c r="D11" s="59">
        <f>'E-Expense'!E23</f>
        <v>0</v>
      </c>
      <c r="E11" s="60">
        <f>'E-Expense'!G23</f>
        <v>0</v>
      </c>
      <c r="F11" s="61">
        <f>'E-Expense'!I23</f>
        <v>0</v>
      </c>
      <c r="G11" s="21">
        <f>SUM(D11:F11)</f>
        <v>0</v>
      </c>
      <c r="H11" s="22"/>
    </row>
    <row r="12" spans="1:8" x14ac:dyDescent="0.3">
      <c r="A12" s="23"/>
      <c r="B12" s="24" t="s">
        <v>240</v>
      </c>
      <c r="C12" s="25" t="s">
        <v>506</v>
      </c>
      <c r="D12" s="26">
        <f>'E-Expense'!E24</f>
        <v>0</v>
      </c>
      <c r="E12" s="27">
        <f>'E-Expense'!G24</f>
        <v>0</v>
      </c>
      <c r="F12" s="50">
        <f>'E-Expense'!I24</f>
        <v>0</v>
      </c>
      <c r="G12" s="28">
        <f>SUM(D12:F12)</f>
        <v>0</v>
      </c>
      <c r="H12" s="29"/>
    </row>
    <row r="13" spans="1:8" x14ac:dyDescent="0.3">
      <c r="A13" s="23"/>
      <c r="B13" s="30" t="s">
        <v>245</v>
      </c>
      <c r="C13" s="31" t="s">
        <v>507</v>
      </c>
      <c r="D13" s="32">
        <f>'E-Expense'!E31</f>
        <v>0</v>
      </c>
      <c r="E13" s="32">
        <f>'E-Expense'!G31</f>
        <v>0</v>
      </c>
      <c r="F13" s="32">
        <f>'E-Expense'!I31</f>
        <v>0</v>
      </c>
      <c r="G13" s="34">
        <f>SUM(D13:F13)</f>
        <v>0</v>
      </c>
      <c r="H13" s="29"/>
    </row>
    <row r="14" spans="1:8" x14ac:dyDescent="0.3">
      <c r="A14" s="23"/>
      <c r="B14" s="24" t="s">
        <v>247</v>
      </c>
      <c r="C14" s="25" t="s">
        <v>508</v>
      </c>
      <c r="D14" s="26">
        <f>D11-D13-D12</f>
        <v>0</v>
      </c>
      <c r="E14" s="27">
        <f t="shared" ref="E14:F14" si="0">E11-E13-E12</f>
        <v>0</v>
      </c>
      <c r="F14" s="50">
        <f t="shared" si="0"/>
        <v>0</v>
      </c>
      <c r="G14" s="28">
        <f>SUM(D14:F14)</f>
        <v>0</v>
      </c>
      <c r="H14" s="29"/>
    </row>
    <row r="15" spans="1:8" x14ac:dyDescent="0.3">
      <c r="A15" s="23"/>
      <c r="B15" s="30" t="s">
        <v>249</v>
      </c>
      <c r="C15" s="31" t="s">
        <v>509</v>
      </c>
      <c r="D15" s="32">
        <f>'E-Expense'!E18</f>
        <v>0</v>
      </c>
      <c r="E15" s="32">
        <f>'E-Expense'!G18</f>
        <v>0</v>
      </c>
      <c r="F15" s="32">
        <f>'E-Expense'!I18</f>
        <v>0</v>
      </c>
      <c r="G15" s="34">
        <f>SUM(D15:F15)</f>
        <v>0</v>
      </c>
      <c r="H15" s="29"/>
    </row>
    <row r="16" spans="1:8" x14ac:dyDescent="0.3">
      <c r="A16" s="23"/>
      <c r="B16" s="197" t="s">
        <v>251</v>
      </c>
      <c r="C16" s="198" t="s">
        <v>510</v>
      </c>
      <c r="D16" s="199">
        <f>IFERROR(D14/D15,0)</f>
        <v>0</v>
      </c>
      <c r="E16" s="200">
        <f t="shared" ref="E16:G16" si="1">IFERROR(E14/E15,0)</f>
        <v>0</v>
      </c>
      <c r="F16" s="201">
        <f t="shared" si="1"/>
        <v>0</v>
      </c>
      <c r="G16" s="199">
        <f t="shared" si="1"/>
        <v>0</v>
      </c>
      <c r="H16" s="29"/>
    </row>
    <row r="17" spans="1:8" x14ac:dyDescent="0.3">
      <c r="A17" s="23"/>
      <c r="B17" s="192" t="s">
        <v>511</v>
      </c>
      <c r="C17" s="193" t="s">
        <v>512</v>
      </c>
      <c r="D17" s="194"/>
      <c r="E17" s="195"/>
      <c r="F17" s="196"/>
      <c r="G17" s="70" t="str">
        <f>IFERROR(SUMPRODUCT(D17:F17,D15:F15)/SUM(D15:F15),"")</f>
        <v/>
      </c>
      <c r="H17" s="69"/>
    </row>
    <row r="18" spans="1:8" x14ac:dyDescent="0.3">
      <c r="A18" s="23"/>
      <c r="B18" s="202" t="s">
        <v>513</v>
      </c>
      <c r="C18" s="203" t="s">
        <v>514</v>
      </c>
      <c r="D18" s="204">
        <f>IFERROR(MIN(D16,D17)+D12/D15,0)</f>
        <v>0</v>
      </c>
      <c r="E18" s="204">
        <f t="shared" ref="E18:F18" si="2">IFERROR(MIN(E16,E17)+E12/E15,0)</f>
        <v>0</v>
      </c>
      <c r="F18" s="205">
        <f t="shared" si="2"/>
        <v>0</v>
      </c>
      <c r="G18" s="206">
        <f>IFERROR(MIN(G16,IF(COUNTBLANK(D17:F17)=3,100%,G17))+SUM('E-Expense'!E24,'E-Expense'!G24,'E-Expense'!I24)/'11-Fixed &amp; Variable Expenses'!G15,0)</f>
        <v>0</v>
      </c>
      <c r="H18" s="207"/>
    </row>
    <row r="19" spans="1:8" x14ac:dyDescent="0.3">
      <c r="A19" s="23"/>
      <c r="B19" s="209" t="s">
        <v>253</v>
      </c>
      <c r="C19" s="208" t="s">
        <v>515</v>
      </c>
      <c r="D19" s="40"/>
      <c r="E19" s="41"/>
      <c r="F19" s="41"/>
      <c r="G19" s="42"/>
      <c r="H19" s="210"/>
    </row>
    <row r="20" spans="1:8" x14ac:dyDescent="0.3">
      <c r="A20" s="23"/>
      <c r="B20" s="214" t="s">
        <v>255</v>
      </c>
      <c r="C20" s="212" t="s">
        <v>516</v>
      </c>
      <c r="D20" s="40"/>
      <c r="E20" s="41"/>
      <c r="F20" s="41"/>
      <c r="G20" s="42"/>
      <c r="H20" s="213">
        <f>H18*H19</f>
        <v>0</v>
      </c>
    </row>
    <row r="21" spans="1:8" x14ac:dyDescent="0.3">
      <c r="A21" s="23"/>
      <c r="B21" s="43" t="s">
        <v>257</v>
      </c>
      <c r="C21" s="44" t="s">
        <v>517</v>
      </c>
      <c r="D21" s="47"/>
      <c r="E21" s="48"/>
      <c r="F21" s="48"/>
      <c r="G21" s="49"/>
      <c r="H21" s="211">
        <f>H18*(1-H19)</f>
        <v>0</v>
      </c>
    </row>
    <row r="22" spans="1:8" x14ac:dyDescent="0.3">
      <c r="A22" s="82">
        <f>A10-1</f>
        <v>-2</v>
      </c>
      <c r="B22" s="83" t="s">
        <v>518</v>
      </c>
      <c r="C22" s="84"/>
      <c r="D22" s="85"/>
      <c r="E22" s="85"/>
      <c r="F22" s="85"/>
      <c r="G22" s="85"/>
      <c r="H22" s="86"/>
    </row>
    <row r="23" spans="1:8" x14ac:dyDescent="0.3">
      <c r="A23" s="19"/>
      <c r="B23" s="20" t="s">
        <v>238</v>
      </c>
      <c r="C23" s="191" t="s">
        <v>505</v>
      </c>
      <c r="D23" s="59">
        <f>'E-Expense'!E20</f>
        <v>0</v>
      </c>
      <c r="E23" s="60">
        <f>'E-Expense'!G20</f>
        <v>0</v>
      </c>
      <c r="F23" s="61">
        <f>'E-Expense'!I20</f>
        <v>0</v>
      </c>
      <c r="G23" s="21">
        <f>SUM(D23:F23)</f>
        <v>0</v>
      </c>
      <c r="H23" s="22"/>
    </row>
    <row r="24" spans="1:8" x14ac:dyDescent="0.3">
      <c r="A24" s="23"/>
      <c r="B24" s="24" t="s">
        <v>240</v>
      </c>
      <c r="C24" s="25" t="s">
        <v>507</v>
      </c>
      <c r="D24" s="26">
        <f>'E-Expense'!E21</f>
        <v>0</v>
      </c>
      <c r="E24" s="27">
        <f>'E-Expense'!G21</f>
        <v>0</v>
      </c>
      <c r="F24" s="50">
        <f>'E-Expense'!I21</f>
        <v>0</v>
      </c>
      <c r="G24" s="28">
        <f>SUM(D24:F24)</f>
        <v>0</v>
      </c>
      <c r="H24" s="29"/>
    </row>
    <row r="25" spans="1:8" x14ac:dyDescent="0.3">
      <c r="A25" s="23"/>
      <c r="B25" s="30" t="s">
        <v>245</v>
      </c>
      <c r="C25" s="31" t="s">
        <v>519</v>
      </c>
      <c r="D25" s="32">
        <f>D23-D24</f>
        <v>0</v>
      </c>
      <c r="E25" s="33">
        <f t="shared" ref="E25" si="3">E23-E24</f>
        <v>0</v>
      </c>
      <c r="F25" s="58">
        <f t="shared" ref="F25" si="4">F23-F24</f>
        <v>0</v>
      </c>
      <c r="G25" s="34">
        <f>SUM(D25:F25)</f>
        <v>0</v>
      </c>
      <c r="H25" s="29"/>
    </row>
    <row r="26" spans="1:8" x14ac:dyDescent="0.3">
      <c r="A26" s="23"/>
      <c r="B26" s="24" t="s">
        <v>247</v>
      </c>
      <c r="C26" s="25" t="s">
        <v>520</v>
      </c>
      <c r="D26" s="26">
        <f>'E-Expense'!E17</f>
        <v>0</v>
      </c>
      <c r="E26" s="27">
        <f>'E-Expense'!G17</f>
        <v>0</v>
      </c>
      <c r="F26" s="50">
        <f>'E-Expense'!I17</f>
        <v>0</v>
      </c>
      <c r="G26" s="28">
        <f>SUM(D26:F26)</f>
        <v>0</v>
      </c>
      <c r="H26" s="29"/>
    </row>
    <row r="27" spans="1:8" x14ac:dyDescent="0.3">
      <c r="A27" s="23"/>
      <c r="B27" s="35" t="s">
        <v>249</v>
      </c>
      <c r="C27" s="190" t="s">
        <v>521</v>
      </c>
      <c r="D27" s="36">
        <f>IFERROR(D25/D26,0)</f>
        <v>0</v>
      </c>
      <c r="E27" s="37">
        <f t="shared" ref="E27" si="5">IFERROR(E25/E26,0)</f>
        <v>0</v>
      </c>
      <c r="F27" s="62">
        <f t="shared" ref="F27" si="6">IFERROR(F25/F26,0)</f>
        <v>0</v>
      </c>
      <c r="G27" s="36">
        <f t="shared" ref="G27" si="7">IFERROR(G25/G26,0)</f>
        <v>0</v>
      </c>
      <c r="H27" s="114"/>
    </row>
    <row r="28" spans="1:8" x14ac:dyDescent="0.3">
      <c r="A28" s="23"/>
      <c r="B28" s="38" t="s">
        <v>251</v>
      </c>
      <c r="C28" s="39" t="s">
        <v>515</v>
      </c>
      <c r="D28" s="40"/>
      <c r="E28" s="41"/>
      <c r="F28" s="41"/>
      <c r="G28" s="42"/>
      <c r="H28" s="115"/>
    </row>
    <row r="29" spans="1:8" x14ac:dyDescent="0.3">
      <c r="A29" s="23"/>
      <c r="B29" s="43" t="s">
        <v>253</v>
      </c>
      <c r="C29" s="44" t="s">
        <v>522</v>
      </c>
      <c r="D29" s="40"/>
      <c r="E29" s="41"/>
      <c r="F29" s="41"/>
      <c r="G29" s="42"/>
      <c r="H29" s="77">
        <f>H27*H28</f>
        <v>0</v>
      </c>
    </row>
    <row r="30" spans="1:8" x14ac:dyDescent="0.3">
      <c r="A30" s="23"/>
      <c r="B30" s="45" t="s">
        <v>255</v>
      </c>
      <c r="C30" s="46" t="s">
        <v>523</v>
      </c>
      <c r="D30" s="47"/>
      <c r="E30" s="48"/>
      <c r="F30" s="48"/>
      <c r="G30" s="49"/>
      <c r="H30" s="88">
        <f>H27*(1-H28)</f>
        <v>0</v>
      </c>
    </row>
    <row r="31" spans="1:8" x14ac:dyDescent="0.3">
      <c r="A31" s="82">
        <f>A22-1</f>
        <v>-3</v>
      </c>
      <c r="B31" s="83" t="s">
        <v>524</v>
      </c>
      <c r="C31" s="84"/>
      <c r="D31" s="85"/>
      <c r="E31" s="85"/>
      <c r="F31" s="85"/>
      <c r="G31" s="85"/>
      <c r="H31" s="86"/>
    </row>
    <row r="32" spans="1:8" x14ac:dyDescent="0.3">
      <c r="A32" s="19"/>
      <c r="B32" s="20" t="s">
        <v>238</v>
      </c>
      <c r="C32" s="191" t="s">
        <v>525</v>
      </c>
      <c r="D32" s="59">
        <f>'E-Expense'!E12</f>
        <v>0</v>
      </c>
      <c r="E32" s="60">
        <f>'E-Expense'!G12</f>
        <v>0</v>
      </c>
      <c r="F32" s="61">
        <f>'E-Expense'!I12</f>
        <v>0</v>
      </c>
      <c r="G32" s="21">
        <f>SUM(D32:F32)</f>
        <v>0</v>
      </c>
      <c r="H32" s="22"/>
    </row>
    <row r="33" spans="1:8" x14ac:dyDescent="0.3">
      <c r="A33" s="23"/>
      <c r="B33" s="215" t="s">
        <v>240</v>
      </c>
      <c r="C33" s="216" t="s">
        <v>507</v>
      </c>
      <c r="D33" s="217"/>
      <c r="E33" s="218"/>
      <c r="F33" s="219"/>
      <c r="G33" s="220">
        <f>SUM(D33:F33)</f>
        <v>0</v>
      </c>
      <c r="H33" s="29"/>
    </row>
    <row r="34" spans="1:8" x14ac:dyDescent="0.3">
      <c r="A34" s="23"/>
      <c r="B34" s="30" t="s">
        <v>245</v>
      </c>
      <c r="C34" s="31" t="s">
        <v>526</v>
      </c>
      <c r="D34" s="32">
        <f>D32-D33</f>
        <v>0</v>
      </c>
      <c r="E34" s="33">
        <f t="shared" ref="E34" si="8">E32-E33</f>
        <v>0</v>
      </c>
      <c r="F34" s="58">
        <f t="shared" ref="F34" si="9">F32-F33</f>
        <v>0</v>
      </c>
      <c r="G34" s="34">
        <f>SUM(D34:F34)</f>
        <v>0</v>
      </c>
      <c r="H34" s="29"/>
    </row>
    <row r="35" spans="1:8" x14ac:dyDescent="0.3">
      <c r="A35" s="23"/>
      <c r="B35" s="24" t="s">
        <v>247</v>
      </c>
      <c r="C35" s="25" t="s">
        <v>527</v>
      </c>
      <c r="D35" s="26">
        <f>'E-Expense'!E10</f>
        <v>0</v>
      </c>
      <c r="E35" s="27">
        <f>'E-Expense'!G10</f>
        <v>0</v>
      </c>
      <c r="F35" s="50">
        <f>'E-Expense'!I10</f>
        <v>0</v>
      </c>
      <c r="G35" s="28">
        <f>SUM(D35:F35)</f>
        <v>0</v>
      </c>
      <c r="H35" s="29"/>
    </row>
    <row r="36" spans="1:8" x14ac:dyDescent="0.3">
      <c r="A36" s="23"/>
      <c r="B36" s="35" t="s">
        <v>249</v>
      </c>
      <c r="C36" s="190" t="s">
        <v>521</v>
      </c>
      <c r="D36" s="36">
        <f>IFERROR(D34/D35,0)</f>
        <v>0</v>
      </c>
      <c r="E36" s="37">
        <f t="shared" ref="E36" si="10">IFERROR(E34/E35,0)</f>
        <v>0</v>
      </c>
      <c r="F36" s="62">
        <f t="shared" ref="F36" si="11">IFERROR(F34/F35,0)</f>
        <v>0</v>
      </c>
      <c r="G36" s="36">
        <f>IFERROR(G34/G35,0)</f>
        <v>0</v>
      </c>
      <c r="H36" s="114"/>
    </row>
    <row r="37" spans="1:8" x14ac:dyDescent="0.3">
      <c r="A37" s="23"/>
      <c r="B37" s="38" t="s">
        <v>251</v>
      </c>
      <c r="C37" s="39" t="s">
        <v>515</v>
      </c>
      <c r="D37" s="40"/>
      <c r="E37" s="41"/>
      <c r="F37" s="41"/>
      <c r="G37" s="42"/>
      <c r="H37" s="115"/>
    </row>
    <row r="38" spans="1:8" x14ac:dyDescent="0.3">
      <c r="A38" s="23"/>
      <c r="B38" s="43" t="s">
        <v>253</v>
      </c>
      <c r="C38" s="44" t="s">
        <v>528</v>
      </c>
      <c r="D38" s="40"/>
      <c r="E38" s="41"/>
      <c r="F38" s="41"/>
      <c r="G38" s="42"/>
      <c r="H38" s="77">
        <f>H36*H37</f>
        <v>0</v>
      </c>
    </row>
    <row r="39" spans="1:8" x14ac:dyDescent="0.3">
      <c r="A39" s="23"/>
      <c r="B39" s="45" t="s">
        <v>255</v>
      </c>
      <c r="C39" s="46" t="s">
        <v>529</v>
      </c>
      <c r="D39" s="47"/>
      <c r="E39" s="48"/>
      <c r="F39" s="48"/>
      <c r="G39" s="49"/>
      <c r="H39" s="88">
        <f>H36*(1-H37)</f>
        <v>0</v>
      </c>
    </row>
    <row r="40" spans="1:8" x14ac:dyDescent="0.3">
      <c r="A40" s="82">
        <f>A31-1</f>
        <v>-4</v>
      </c>
      <c r="B40" s="83" t="s">
        <v>530</v>
      </c>
      <c r="C40" s="84"/>
      <c r="D40" s="85"/>
      <c r="E40" s="85"/>
      <c r="F40" s="85"/>
      <c r="G40" s="85"/>
      <c r="H40" s="86"/>
    </row>
    <row r="41" spans="1:8" x14ac:dyDescent="0.3">
      <c r="A41" s="19"/>
      <c r="B41" s="20" t="s">
        <v>238</v>
      </c>
      <c r="C41" s="191" t="s">
        <v>525</v>
      </c>
      <c r="D41" s="59">
        <f>'E-Expense'!E13</f>
        <v>0</v>
      </c>
      <c r="E41" s="60">
        <f>'E-Expense'!G13</f>
        <v>0</v>
      </c>
      <c r="F41" s="61">
        <f>'E-Expense'!I13</f>
        <v>0</v>
      </c>
      <c r="G41" s="21">
        <f>SUM(D41:F41)</f>
        <v>0</v>
      </c>
      <c r="H41" s="22"/>
    </row>
    <row r="42" spans="1:8" x14ac:dyDescent="0.3">
      <c r="A42" s="23"/>
      <c r="B42" s="24" t="s">
        <v>240</v>
      </c>
      <c r="C42" s="25" t="s">
        <v>507</v>
      </c>
      <c r="D42" s="116"/>
      <c r="E42" s="117"/>
      <c r="F42" s="118"/>
      <c r="G42" s="28">
        <f>SUM(D42:F42)</f>
        <v>0</v>
      </c>
      <c r="H42" s="29"/>
    </row>
    <row r="43" spans="1:8" x14ac:dyDescent="0.3">
      <c r="A43" s="23"/>
      <c r="B43" s="30" t="s">
        <v>245</v>
      </c>
      <c r="C43" s="31" t="s">
        <v>526</v>
      </c>
      <c r="D43" s="32">
        <f>D41-D42</f>
        <v>0</v>
      </c>
      <c r="E43" s="33">
        <f t="shared" ref="E43" si="12">E41-E42</f>
        <v>0</v>
      </c>
      <c r="F43" s="58">
        <f t="shared" ref="F43" si="13">F41-F42</f>
        <v>0</v>
      </c>
      <c r="G43" s="34">
        <f>SUM(D43:F43)</f>
        <v>0</v>
      </c>
      <c r="H43" s="29"/>
    </row>
    <row r="44" spans="1:8" x14ac:dyDescent="0.3">
      <c r="A44" s="23"/>
      <c r="B44" s="24" t="s">
        <v>247</v>
      </c>
      <c r="C44" s="25" t="s">
        <v>527</v>
      </c>
      <c r="D44" s="26">
        <f>D35</f>
        <v>0</v>
      </c>
      <c r="E44" s="27">
        <f t="shared" ref="E44:F44" si="14">E35</f>
        <v>0</v>
      </c>
      <c r="F44" s="50">
        <f t="shared" si="14"/>
        <v>0</v>
      </c>
      <c r="G44" s="28">
        <f>SUM(D44:F44)</f>
        <v>0</v>
      </c>
      <c r="H44" s="29"/>
    </row>
    <row r="45" spans="1:8" x14ac:dyDescent="0.3">
      <c r="A45" s="23"/>
      <c r="B45" s="35" t="s">
        <v>249</v>
      </c>
      <c r="C45" s="190" t="s">
        <v>521</v>
      </c>
      <c r="D45" s="36">
        <f>IFERROR(D43/D44,0)</f>
        <v>0</v>
      </c>
      <c r="E45" s="37">
        <f t="shared" ref="E45" si="15">IFERROR(E43/E44,0)</f>
        <v>0</v>
      </c>
      <c r="F45" s="62">
        <f t="shared" ref="F45" si="16">IFERROR(F43/F44,0)</f>
        <v>0</v>
      </c>
      <c r="G45" s="36">
        <f>IFERROR(G43/G44,0)</f>
        <v>0</v>
      </c>
      <c r="H45" s="114"/>
    </row>
    <row r="46" spans="1:8" x14ac:dyDescent="0.3">
      <c r="A46" s="23"/>
      <c r="B46" s="38" t="s">
        <v>251</v>
      </c>
      <c r="C46" s="39" t="s">
        <v>515</v>
      </c>
      <c r="D46" s="40"/>
      <c r="E46" s="41"/>
      <c r="F46" s="41"/>
      <c r="G46" s="42"/>
      <c r="H46" s="115"/>
    </row>
    <row r="47" spans="1:8" x14ac:dyDescent="0.3">
      <c r="A47" s="23"/>
      <c r="B47" s="43" t="s">
        <v>253</v>
      </c>
      <c r="C47" s="44" t="s">
        <v>531</v>
      </c>
      <c r="D47" s="40"/>
      <c r="E47" s="41"/>
      <c r="F47" s="41"/>
      <c r="G47" s="42"/>
      <c r="H47" s="77">
        <f>H45*H46</f>
        <v>0</v>
      </c>
    </row>
    <row r="48" spans="1:8" x14ac:dyDescent="0.3">
      <c r="A48" s="23"/>
      <c r="B48" s="45" t="s">
        <v>255</v>
      </c>
      <c r="C48" s="46" t="s">
        <v>532</v>
      </c>
      <c r="D48" s="47"/>
      <c r="E48" s="48"/>
      <c r="F48" s="48"/>
      <c r="G48" s="49"/>
      <c r="H48" s="88">
        <f>H45*(1-H46)</f>
        <v>0</v>
      </c>
    </row>
    <row r="49" spans="1:10" x14ac:dyDescent="0.3">
      <c r="A49" s="82">
        <f>A40-1</f>
        <v>-5</v>
      </c>
      <c r="B49" s="83" t="str">
        <f>IF('9-Modeled Cat'!B70='9-Modeled Cat'!K70,"Cost of Reinsurance","Net Cost of Reinsurance")</f>
        <v>Net Cost of Reinsurance</v>
      </c>
      <c r="C49" s="84"/>
      <c r="D49" s="85"/>
      <c r="E49" s="85"/>
      <c r="F49" s="85"/>
      <c r="G49" s="85"/>
      <c r="H49" s="86"/>
    </row>
    <row r="50" spans="1:10" x14ac:dyDescent="0.3">
      <c r="B50" s="51" t="s">
        <v>238</v>
      </c>
      <c r="C50" s="1092" t="str">
        <f>IF('9-Modeled Cat'!B70='9-Modeled Cat'!K70,"Fixed Statewide Cost of Reinsurance","Fixed Statewide Net Cost of Reinsurance")</f>
        <v>Fixed Statewide Net Cost of Reinsurance</v>
      </c>
      <c r="D50" s="52"/>
      <c r="E50" s="52"/>
      <c r="F50" s="52"/>
      <c r="G50" s="52"/>
      <c r="H50" s="78">
        <f>'12-Reinsurance'!D16</f>
        <v>0</v>
      </c>
    </row>
    <row r="51" spans="1:10" x14ac:dyDescent="0.3">
      <c r="B51" s="64" t="s">
        <v>240</v>
      </c>
      <c r="C51" s="89" t="str">
        <f>IF('9-Modeled Cat'!B70='9-Modeled Cat'!K70,"Variable Statewide Cost of Reinsurance","Variable Statewide Net Cost of Reins.")</f>
        <v>Variable Statewide Net Cost of Reins.</v>
      </c>
      <c r="D51" s="90"/>
      <c r="E51" s="90"/>
      <c r="F51" s="90"/>
      <c r="G51" s="90"/>
      <c r="H51" s="88">
        <f>'12-Reinsurance'!D17</f>
        <v>0</v>
      </c>
    </row>
    <row r="52" spans="1:10" x14ac:dyDescent="0.3">
      <c r="B52" s="53" t="s">
        <v>245</v>
      </c>
      <c r="C52" s="54" t="str">
        <f>IF('9-Modeled Cat'!B70='9-Modeled Cat'!K70,"Statewide Cost of Reinsurance","Statewide Net Cost of Reins.")</f>
        <v>Statewide Net Cost of Reins.</v>
      </c>
      <c r="D52" s="55"/>
      <c r="E52" s="55"/>
      <c r="F52" s="55"/>
      <c r="G52" s="55"/>
      <c r="H52" s="56">
        <f>H50+H51</f>
        <v>0</v>
      </c>
    </row>
    <row r="53" spans="1:10" x14ac:dyDescent="0.3">
      <c r="A53" s="82">
        <f>A49-1</f>
        <v>-6</v>
      </c>
      <c r="B53" s="83" t="s">
        <v>533</v>
      </c>
      <c r="C53" s="84"/>
      <c r="D53" s="85"/>
      <c r="E53" s="85"/>
      <c r="F53" s="85"/>
      <c r="G53" s="85"/>
      <c r="H53" s="86"/>
    </row>
    <row r="54" spans="1:10" x14ac:dyDescent="0.3">
      <c r="B54" s="51" t="s">
        <v>238</v>
      </c>
      <c r="C54" s="1092" t="s">
        <v>534</v>
      </c>
      <c r="D54" s="52"/>
      <c r="E54" s="52"/>
      <c r="F54" s="52"/>
      <c r="G54" s="52"/>
      <c r="H54" s="78">
        <f>IF('13A-Profit'!F28='13A-Profit'!H28,'13A-Profit'!F27,0)</f>
        <v>0</v>
      </c>
      <c r="J54" s="189"/>
    </row>
    <row r="55" spans="1:10" x14ac:dyDescent="0.3">
      <c r="B55" s="64" t="s">
        <v>240</v>
      </c>
      <c r="C55" s="89" t="s">
        <v>535</v>
      </c>
      <c r="D55" s="90"/>
      <c r="E55" s="90"/>
      <c r="F55" s="90"/>
      <c r="G55" s="90"/>
      <c r="H55" s="88">
        <f>IF('13A-Profit'!F28='13A-Profit'!H29,'13A-Profit'!F26+'13A-Profit'!F27,'13A-Profit'!F26)</f>
        <v>0</v>
      </c>
    </row>
    <row r="56" spans="1:10" x14ac:dyDescent="0.3">
      <c r="B56" s="53" t="s">
        <v>245</v>
      </c>
      <c r="C56" s="54" t="s">
        <v>536</v>
      </c>
      <c r="D56" s="55"/>
      <c r="E56" s="55"/>
      <c r="F56" s="55"/>
      <c r="G56" s="55"/>
      <c r="H56" s="56">
        <f>H54+H55</f>
        <v>0</v>
      </c>
    </row>
    <row r="57" spans="1:10" x14ac:dyDescent="0.3">
      <c r="A57" s="82">
        <f>A53-1</f>
        <v>-7</v>
      </c>
      <c r="B57" s="83" t="s">
        <v>537</v>
      </c>
      <c r="C57" s="84"/>
      <c r="D57" s="85"/>
      <c r="E57" s="85"/>
      <c r="F57" s="85"/>
      <c r="G57" s="85"/>
      <c r="H57" s="86"/>
    </row>
    <row r="58" spans="1:10" x14ac:dyDescent="0.3">
      <c r="B58" s="51" t="s">
        <v>238</v>
      </c>
      <c r="C58" s="1092" t="s">
        <v>538</v>
      </c>
      <c r="D58" s="52"/>
      <c r="E58" s="52"/>
      <c r="F58" s="52"/>
      <c r="G58" s="52"/>
      <c r="H58" s="78">
        <f>'15-Fees'!G33</f>
        <v>0</v>
      </c>
    </row>
    <row r="59" spans="1:10" x14ac:dyDescent="0.3">
      <c r="B59" s="64" t="s">
        <v>240</v>
      </c>
      <c r="C59" s="89" t="s">
        <v>539</v>
      </c>
      <c r="D59" s="90"/>
      <c r="E59" s="90"/>
      <c r="F59" s="90"/>
      <c r="G59" s="90"/>
      <c r="H59" s="88">
        <f>'15-Fees'!G40</f>
        <v>0</v>
      </c>
    </row>
    <row r="60" spans="1:10" x14ac:dyDescent="0.3">
      <c r="B60" s="53" t="s">
        <v>245</v>
      </c>
      <c r="C60" s="54" t="s">
        <v>540</v>
      </c>
      <c r="D60" s="55"/>
      <c r="E60" s="55"/>
      <c r="F60" s="55"/>
      <c r="G60" s="55"/>
      <c r="H60" s="56">
        <f>H58+H59</f>
        <v>0</v>
      </c>
    </row>
    <row r="61" spans="1:10" x14ac:dyDescent="0.3">
      <c r="A61" s="82">
        <f>A57-1</f>
        <v>-8</v>
      </c>
      <c r="B61" s="83" t="s">
        <v>541</v>
      </c>
      <c r="C61" s="84"/>
      <c r="D61" s="85"/>
      <c r="E61" s="85"/>
      <c r="F61" s="85"/>
      <c r="G61" s="85"/>
      <c r="H61" s="86"/>
    </row>
    <row r="62" spans="1:10" x14ac:dyDescent="0.3">
      <c r="B62" s="1091" t="s">
        <v>238</v>
      </c>
      <c r="C62" s="1092" t="s">
        <v>542</v>
      </c>
      <c r="D62" s="52"/>
      <c r="E62" s="52"/>
      <c r="F62" s="52"/>
      <c r="G62" s="87"/>
      <c r="H62" s="70">
        <f>H20+H29+H38+H47+H50+H54-H58</f>
        <v>0</v>
      </c>
    </row>
    <row r="63" spans="1:10" x14ac:dyDescent="0.3">
      <c r="B63" s="91" t="s">
        <v>240</v>
      </c>
      <c r="C63" s="89" t="s">
        <v>543</v>
      </c>
      <c r="D63" s="90"/>
      <c r="E63" s="90"/>
      <c r="F63" s="90"/>
      <c r="G63" s="92"/>
      <c r="H63" s="93">
        <f>H21+H30+H39+H48+H51+H55-H59</f>
        <v>0</v>
      </c>
    </row>
    <row r="64" spans="1:10" x14ac:dyDescent="0.3">
      <c r="B64" s="53" t="s">
        <v>245</v>
      </c>
      <c r="C64" s="54" t="s">
        <v>544</v>
      </c>
      <c r="D64" s="55"/>
      <c r="E64" s="55"/>
      <c r="F64" s="55"/>
      <c r="G64" s="55"/>
      <c r="H64" s="56">
        <f>H62+H63</f>
        <v>0</v>
      </c>
    </row>
    <row r="65" spans="1:11" x14ac:dyDescent="0.3">
      <c r="A65" s="82">
        <f>A61-1</f>
        <v>-9</v>
      </c>
      <c r="B65" s="83" t="s">
        <v>297</v>
      </c>
      <c r="C65" s="83"/>
      <c r="D65" s="85"/>
      <c r="E65" s="85"/>
      <c r="F65" s="85"/>
      <c r="G65" s="85"/>
      <c r="H65" s="156">
        <f>1-H63</f>
        <v>1</v>
      </c>
    </row>
    <row r="67" spans="1:11" ht="14.4" customHeight="1" x14ac:dyDescent="0.3">
      <c r="A67" s="1">
        <f>A65-1</f>
        <v>-10</v>
      </c>
      <c r="B67" s="1422" t="s">
        <v>545</v>
      </c>
      <c r="C67" s="1423"/>
      <c r="D67" s="1423"/>
      <c r="E67" s="1423"/>
      <c r="F67" s="1423"/>
      <c r="G67" s="1423"/>
      <c r="H67" s="1423"/>
    </row>
    <row r="68" spans="1:11" x14ac:dyDescent="0.3">
      <c r="A68" s="2"/>
      <c r="B68" s="1424"/>
      <c r="C68" s="1424"/>
      <c r="D68" s="1424"/>
      <c r="E68" s="1424"/>
      <c r="F68" s="1424"/>
      <c r="G68" s="1424"/>
      <c r="H68" s="1424"/>
      <c r="K68" s="110" t="s">
        <v>38</v>
      </c>
    </row>
    <row r="69" spans="1:11" x14ac:dyDescent="0.3">
      <c r="A69" s="2"/>
      <c r="B69" s="1435" t="s">
        <v>38</v>
      </c>
      <c r="C69" s="1436"/>
      <c r="D69" s="149"/>
      <c r="E69" s="149"/>
      <c r="F69" s="149"/>
      <c r="G69" s="149"/>
      <c r="H69" s="150"/>
      <c r="K69" s="110" t="s">
        <v>39</v>
      </c>
    </row>
    <row r="70" spans="1:11" x14ac:dyDescent="0.3">
      <c r="H70" s="2"/>
    </row>
    <row r="71" spans="1:11" ht="14.4" customHeight="1" x14ac:dyDescent="0.3">
      <c r="A71" s="1">
        <f>A67-1</f>
        <v>-11</v>
      </c>
      <c r="B71" s="1431" t="s">
        <v>546</v>
      </c>
      <c r="C71" s="1431"/>
      <c r="D71" s="1431"/>
      <c r="E71" s="1431"/>
      <c r="F71" s="1431"/>
      <c r="G71" s="1431"/>
      <c r="H71" s="1431"/>
    </row>
    <row r="72" spans="1:11" x14ac:dyDescent="0.3">
      <c r="B72" s="1432"/>
      <c r="C72" s="1432"/>
      <c r="D72" s="1432"/>
      <c r="E72" s="1432"/>
      <c r="F72" s="1432"/>
      <c r="G72" s="1432"/>
      <c r="H72" s="1432"/>
    </row>
    <row r="73" spans="1:11" x14ac:dyDescent="0.3">
      <c r="B73" s="1432"/>
      <c r="C73" s="1432"/>
      <c r="D73" s="1432"/>
      <c r="E73" s="1432"/>
      <c r="F73" s="1432"/>
      <c r="G73" s="1432"/>
      <c r="H73" s="1432"/>
    </row>
    <row r="74" spans="1:11" x14ac:dyDescent="0.3">
      <c r="B74" s="1433"/>
      <c r="C74" s="1433"/>
      <c r="D74" s="1433"/>
      <c r="E74" s="1433"/>
      <c r="F74" s="1433"/>
      <c r="G74" s="1433"/>
      <c r="H74" s="1433"/>
    </row>
    <row r="75" spans="1:11" x14ac:dyDescent="0.3">
      <c r="B75" s="1433"/>
      <c r="C75" s="1433"/>
      <c r="D75" s="1433"/>
      <c r="E75" s="1433"/>
      <c r="F75" s="1433"/>
      <c r="G75" s="1433"/>
      <c r="H75" s="1433"/>
    </row>
    <row r="76" spans="1:11" x14ac:dyDescent="0.3">
      <c r="B76" s="1434"/>
      <c r="C76" s="1434"/>
      <c r="D76" s="1434"/>
      <c r="E76" s="1434"/>
      <c r="F76" s="1434"/>
      <c r="G76" s="1434"/>
      <c r="H76" s="1434"/>
    </row>
    <row r="77" spans="1:11" x14ac:dyDescent="0.3">
      <c r="H77" s="2"/>
    </row>
    <row r="78" spans="1:11" ht="14.4" customHeight="1" x14ac:dyDescent="0.3">
      <c r="A78" s="1">
        <f>A71-1</f>
        <v>-12</v>
      </c>
      <c r="B78" s="1425" t="s">
        <v>547</v>
      </c>
      <c r="C78" s="1426"/>
      <c r="D78" s="1426"/>
      <c r="E78" s="1426"/>
      <c r="F78" s="1426"/>
      <c r="G78" s="1426"/>
      <c r="H78" s="1427"/>
    </row>
    <row r="79" spans="1:11" x14ac:dyDescent="0.3">
      <c r="A79" s="2"/>
      <c r="B79" s="1428"/>
      <c r="C79" s="1429"/>
      <c r="D79" s="1429"/>
      <c r="E79" s="1429"/>
      <c r="F79" s="1429"/>
      <c r="G79" s="1429"/>
      <c r="H79" s="1430"/>
    </row>
    <row r="80" spans="1:11" x14ac:dyDescent="0.3">
      <c r="A80" s="2"/>
      <c r="B80" s="1361"/>
      <c r="C80" s="1362"/>
      <c r="D80" s="1362"/>
      <c r="E80" s="1362"/>
      <c r="F80" s="1362"/>
      <c r="G80" s="1362"/>
      <c r="H80" s="1363"/>
    </row>
    <row r="81" spans="1:8" x14ac:dyDescent="0.3">
      <c r="A81" s="2"/>
      <c r="B81" s="1364"/>
      <c r="C81" s="1365"/>
      <c r="D81" s="1365"/>
      <c r="E81" s="1365"/>
      <c r="F81" s="1365"/>
      <c r="G81" s="1365"/>
      <c r="H81" s="1366"/>
    </row>
    <row r="82" spans="1:8" x14ac:dyDescent="0.3">
      <c r="A82" s="2"/>
      <c r="B82" s="1367"/>
      <c r="C82" s="1368"/>
      <c r="D82" s="1368"/>
      <c r="E82" s="1368"/>
      <c r="F82" s="1368"/>
      <c r="G82" s="1368"/>
      <c r="H82" s="1369"/>
    </row>
    <row r="83" spans="1:8" x14ac:dyDescent="0.3">
      <c r="A83" s="2"/>
      <c r="B83" s="63"/>
      <c r="C83" s="63"/>
      <c r="D83" s="63"/>
      <c r="E83" s="63"/>
      <c r="F83" s="63"/>
      <c r="G83" s="63"/>
      <c r="H83" s="63"/>
    </row>
    <row r="84" spans="1:8" ht="14.4" customHeight="1" x14ac:dyDescent="0.3">
      <c r="A84" s="1">
        <f>A78-1</f>
        <v>-13</v>
      </c>
      <c r="B84" s="1425" t="s">
        <v>548</v>
      </c>
      <c r="C84" s="1426"/>
      <c r="D84" s="1426"/>
      <c r="E84" s="1426"/>
      <c r="F84" s="1426"/>
      <c r="G84" s="1426"/>
      <c r="H84" s="1427"/>
    </row>
    <row r="85" spans="1:8" x14ac:dyDescent="0.3">
      <c r="A85" s="2"/>
      <c r="B85" s="1428"/>
      <c r="C85" s="1429"/>
      <c r="D85" s="1429"/>
      <c r="E85" s="1429"/>
      <c r="F85" s="1429"/>
      <c r="G85" s="1429"/>
      <c r="H85" s="1430"/>
    </row>
    <row r="86" spans="1:8" x14ac:dyDescent="0.3">
      <c r="A86" s="2"/>
      <c r="B86" s="1361"/>
      <c r="C86" s="1362"/>
      <c r="D86" s="1362"/>
      <c r="E86" s="1362"/>
      <c r="F86" s="1362"/>
      <c r="G86" s="1362"/>
      <c r="H86" s="1363"/>
    </row>
    <row r="87" spans="1:8" x14ac:dyDescent="0.3">
      <c r="A87" s="2"/>
      <c r="B87" s="1364"/>
      <c r="C87" s="1365"/>
      <c r="D87" s="1365"/>
      <c r="E87" s="1365"/>
      <c r="F87" s="1365"/>
      <c r="G87" s="1365"/>
      <c r="H87" s="1366"/>
    </row>
    <row r="88" spans="1:8" x14ac:dyDescent="0.3">
      <c r="A88" s="2"/>
      <c r="B88" s="1367"/>
      <c r="C88" s="1368"/>
      <c r="D88" s="1368"/>
      <c r="E88" s="1368"/>
      <c r="F88" s="1368"/>
      <c r="G88" s="1368"/>
      <c r="H88" s="1369"/>
    </row>
    <row r="89" spans="1:8" x14ac:dyDescent="0.3">
      <c r="A89" s="2"/>
      <c r="B89" s="1"/>
      <c r="H89" s="2"/>
    </row>
    <row r="90" spans="1:8" ht="14.4" customHeight="1" x14ac:dyDescent="0.3">
      <c r="A90" s="1">
        <f>A84-1</f>
        <v>-14</v>
      </c>
      <c r="B90" s="1425" t="s">
        <v>549</v>
      </c>
      <c r="C90" s="1426"/>
      <c r="D90" s="1426"/>
      <c r="E90" s="1426"/>
      <c r="F90" s="1426"/>
      <c r="G90" s="1426"/>
      <c r="H90" s="1427"/>
    </row>
    <row r="91" spans="1:8" x14ac:dyDescent="0.3">
      <c r="A91" s="2"/>
      <c r="B91" s="1428"/>
      <c r="C91" s="1429"/>
      <c r="D91" s="1429"/>
      <c r="E91" s="1429"/>
      <c r="F91" s="1429"/>
      <c r="G91" s="1429"/>
      <c r="H91" s="1430"/>
    </row>
    <row r="92" spans="1:8" x14ac:dyDescent="0.3">
      <c r="A92" s="2"/>
      <c r="B92" s="1361"/>
      <c r="C92" s="1362"/>
      <c r="D92" s="1362"/>
      <c r="E92" s="1362"/>
      <c r="F92" s="1362"/>
      <c r="G92" s="1362"/>
      <c r="H92" s="1363"/>
    </row>
    <row r="93" spans="1:8" x14ac:dyDescent="0.3">
      <c r="A93" s="2"/>
      <c r="B93" s="1364"/>
      <c r="C93" s="1365"/>
      <c r="D93" s="1365"/>
      <c r="E93" s="1365"/>
      <c r="F93" s="1365"/>
      <c r="G93" s="1365"/>
      <c r="H93" s="1366"/>
    </row>
    <row r="94" spans="1:8" x14ac:dyDescent="0.3">
      <c r="A94" s="2"/>
      <c r="B94" s="1367"/>
      <c r="C94" s="1368"/>
      <c r="D94" s="1368"/>
      <c r="E94" s="1368"/>
      <c r="F94" s="1368"/>
      <c r="G94" s="1368"/>
      <c r="H94" s="1369"/>
    </row>
    <row r="95" spans="1:8" x14ac:dyDescent="0.3">
      <c r="A95" s="2"/>
      <c r="B95" s="1"/>
      <c r="H95" s="2"/>
    </row>
    <row r="96" spans="1:8" ht="14.4" customHeight="1" x14ac:dyDescent="0.3">
      <c r="A96" s="1">
        <f>A90-1</f>
        <v>-15</v>
      </c>
      <c r="B96" s="1425" t="s">
        <v>550</v>
      </c>
      <c r="C96" s="1426"/>
      <c r="D96" s="1426"/>
      <c r="E96" s="1426"/>
      <c r="F96" s="1426"/>
      <c r="G96" s="1426"/>
      <c r="H96" s="1427"/>
    </row>
    <row r="97" spans="1:8" x14ac:dyDescent="0.3">
      <c r="A97" s="2"/>
      <c r="B97" s="1428"/>
      <c r="C97" s="1429"/>
      <c r="D97" s="1429"/>
      <c r="E97" s="1429"/>
      <c r="F97" s="1429"/>
      <c r="G97" s="1429"/>
      <c r="H97" s="1430"/>
    </row>
    <row r="98" spans="1:8" x14ac:dyDescent="0.3">
      <c r="A98" s="2"/>
      <c r="B98" s="1361"/>
      <c r="C98" s="1362"/>
      <c r="D98" s="1362"/>
      <c r="E98" s="1362"/>
      <c r="F98" s="1362"/>
      <c r="G98" s="1362"/>
      <c r="H98" s="1363"/>
    </row>
    <row r="99" spans="1:8" x14ac:dyDescent="0.3">
      <c r="A99" s="2"/>
      <c r="B99" s="1364"/>
      <c r="C99" s="1365"/>
      <c r="D99" s="1365"/>
      <c r="E99" s="1365"/>
      <c r="F99" s="1365"/>
      <c r="G99" s="1365"/>
      <c r="H99" s="1366"/>
    </row>
    <row r="100" spans="1:8" x14ac:dyDescent="0.3">
      <c r="A100" s="2"/>
      <c r="B100" s="1367"/>
      <c r="C100" s="1368"/>
      <c r="D100" s="1368"/>
      <c r="E100" s="1368"/>
      <c r="F100" s="1368"/>
      <c r="G100" s="1368"/>
      <c r="H100" s="1369"/>
    </row>
    <row r="102" spans="1:8" s="71" customFormat="1" ht="12" customHeight="1" x14ac:dyDescent="0.3">
      <c r="A102" s="67" t="s">
        <v>263</v>
      </c>
      <c r="H102" s="72"/>
    </row>
    <row r="103" spans="1:8" s="71" customFormat="1" ht="12" customHeight="1" x14ac:dyDescent="0.3">
      <c r="A103" s="68" t="s">
        <v>284</v>
      </c>
      <c r="D103" s="157" t="s">
        <v>551</v>
      </c>
      <c r="E103" s="1421" t="s">
        <v>552</v>
      </c>
      <c r="F103" s="1421"/>
      <c r="G103" s="1421"/>
      <c r="H103" s="1421"/>
    </row>
    <row r="104" spans="1:8" s="71" customFormat="1" ht="12" customHeight="1" x14ac:dyDescent="0.3">
      <c r="A104" s="75" t="s">
        <v>553</v>
      </c>
      <c r="B104" s="3" t="s">
        <v>499</v>
      </c>
      <c r="C104" s="3"/>
      <c r="E104" s="1421"/>
      <c r="F104" s="1421"/>
      <c r="G104" s="1421"/>
      <c r="H104" s="1421"/>
    </row>
    <row r="105" spans="1:8" s="71" customFormat="1" ht="12" customHeight="1" x14ac:dyDescent="0.3">
      <c r="A105" s="75" t="s">
        <v>554</v>
      </c>
      <c r="B105" s="3" t="s">
        <v>499</v>
      </c>
      <c r="C105" s="3"/>
      <c r="D105" s="157" t="s">
        <v>555</v>
      </c>
      <c r="E105" s="76" t="s">
        <v>556</v>
      </c>
      <c r="H105" s="72"/>
    </row>
    <row r="106" spans="1:8" s="71" customFormat="1" ht="12" customHeight="1" x14ac:dyDescent="0.3">
      <c r="A106" s="75" t="s">
        <v>557</v>
      </c>
      <c r="B106" s="3" t="s">
        <v>499</v>
      </c>
      <c r="C106" s="3"/>
      <c r="D106" s="94"/>
      <c r="E106" s="95"/>
      <c r="H106" s="72"/>
    </row>
    <row r="107" spans="1:8" s="71" customFormat="1" ht="12" customHeight="1" x14ac:dyDescent="0.3">
      <c r="A107" s="75" t="s">
        <v>558</v>
      </c>
      <c r="B107" s="68" t="s">
        <v>559</v>
      </c>
      <c r="C107" s="3"/>
      <c r="H107" s="72"/>
    </row>
    <row r="108" spans="1:8" s="71" customFormat="1" ht="12" customHeight="1" x14ac:dyDescent="0.3">
      <c r="A108" s="75" t="s">
        <v>560</v>
      </c>
      <c r="B108" s="3" t="s">
        <v>499</v>
      </c>
      <c r="C108" s="3"/>
      <c r="H108" s="72"/>
    </row>
    <row r="109" spans="1:8" s="71" customFormat="1" ht="12" customHeight="1" x14ac:dyDescent="0.3">
      <c r="A109" s="94" t="s">
        <v>561</v>
      </c>
      <c r="B109" s="68" t="s">
        <v>562</v>
      </c>
      <c r="C109" s="3"/>
      <c r="H109" s="72"/>
    </row>
    <row r="110" spans="1:8" s="71" customFormat="1" ht="12" customHeight="1" x14ac:dyDescent="0.3">
      <c r="A110" s="75" t="s">
        <v>563</v>
      </c>
      <c r="B110" s="4" t="s">
        <v>266</v>
      </c>
      <c r="D110" s="73">
        <v>-5</v>
      </c>
      <c r="E110" s="74" t="s">
        <v>564</v>
      </c>
      <c r="H110" s="72"/>
    </row>
    <row r="111" spans="1:8" s="71" customFormat="1" ht="12" customHeight="1" x14ac:dyDescent="0.3">
      <c r="A111" s="75" t="s">
        <v>565</v>
      </c>
      <c r="B111" s="68" t="s">
        <v>566</v>
      </c>
      <c r="C111" s="3"/>
      <c r="D111" s="73">
        <f>D110-1</f>
        <v>-6</v>
      </c>
      <c r="E111" s="74" t="s">
        <v>567</v>
      </c>
      <c r="H111" s="72"/>
    </row>
    <row r="112" spans="1:8" s="71" customFormat="1" ht="12" customHeight="1" x14ac:dyDescent="0.3">
      <c r="A112" s="73" t="s">
        <v>568</v>
      </c>
      <c r="B112" s="76" t="s">
        <v>569</v>
      </c>
      <c r="C112" s="3"/>
      <c r="D112" s="73">
        <f>D111-1</f>
        <v>-7</v>
      </c>
      <c r="E112" s="74" t="s">
        <v>570</v>
      </c>
      <c r="H112" s="72"/>
    </row>
    <row r="113" spans="1:8" s="71" customFormat="1" ht="12" customHeight="1" x14ac:dyDescent="0.3">
      <c r="D113" s="73" t="s">
        <v>571</v>
      </c>
      <c r="E113" s="76" t="s">
        <v>572</v>
      </c>
      <c r="H113" s="72"/>
    </row>
    <row r="114" spans="1:8" s="71" customFormat="1" ht="12" customHeight="1" x14ac:dyDescent="0.3">
      <c r="A114" s="68" t="s">
        <v>573</v>
      </c>
      <c r="D114" s="73" t="s">
        <v>574</v>
      </c>
      <c r="E114" s="76" t="s">
        <v>575</v>
      </c>
      <c r="H114" s="72"/>
    </row>
    <row r="115" spans="1:8" s="71" customFormat="1" ht="12" customHeight="1" x14ac:dyDescent="0.3">
      <c r="A115" s="75" t="s">
        <v>553</v>
      </c>
      <c r="B115" s="3" t="s">
        <v>499</v>
      </c>
      <c r="C115" s="3"/>
      <c r="D115" s="94" t="s">
        <v>576</v>
      </c>
      <c r="E115" s="76" t="s">
        <v>577</v>
      </c>
      <c r="H115" s="13"/>
    </row>
    <row r="116" spans="1:8" x14ac:dyDescent="0.3">
      <c r="A116" s="75" t="s">
        <v>554</v>
      </c>
      <c r="B116" s="3" t="s">
        <v>499</v>
      </c>
      <c r="C116" s="3"/>
      <c r="D116" s="73">
        <v>-9</v>
      </c>
      <c r="E116" s="76" t="s">
        <v>578</v>
      </c>
      <c r="F116" s="71"/>
    </row>
    <row r="117" spans="1:8" x14ac:dyDescent="0.3">
      <c r="A117" s="75" t="s">
        <v>557</v>
      </c>
      <c r="B117" s="68" t="s">
        <v>579</v>
      </c>
      <c r="C117" s="3"/>
    </row>
    <row r="118" spans="1:8" x14ac:dyDescent="0.3">
      <c r="A118" s="75" t="s">
        <v>558</v>
      </c>
      <c r="B118" s="3" t="s">
        <v>499</v>
      </c>
      <c r="C118" s="3"/>
    </row>
    <row r="119" spans="1:8" x14ac:dyDescent="0.3">
      <c r="A119" s="75" t="s">
        <v>560</v>
      </c>
      <c r="B119" s="68" t="s">
        <v>562</v>
      </c>
      <c r="C119" s="3"/>
    </row>
    <row r="120" spans="1:8" x14ac:dyDescent="0.3">
      <c r="A120" s="94" t="s">
        <v>561</v>
      </c>
      <c r="B120" s="4" t="s">
        <v>266</v>
      </c>
      <c r="C120" s="71"/>
    </row>
    <row r="121" spans="1:8" x14ac:dyDescent="0.3">
      <c r="A121" s="75" t="s">
        <v>563</v>
      </c>
      <c r="B121" s="68" t="s">
        <v>566</v>
      </c>
      <c r="C121" s="3"/>
    </row>
    <row r="122" spans="1:8" x14ac:dyDescent="0.3">
      <c r="A122" s="75" t="s">
        <v>565</v>
      </c>
      <c r="B122" s="76" t="s">
        <v>569</v>
      </c>
      <c r="C122" s="3"/>
    </row>
    <row r="123" spans="1:8" x14ac:dyDescent="0.3">
      <c r="A123" s="73"/>
    </row>
    <row r="125" spans="1:8" x14ac:dyDescent="0.3">
      <c r="A125" s="119" t="s">
        <v>580</v>
      </c>
      <c r="B125" s="71"/>
      <c r="C125" s="71"/>
    </row>
    <row r="126" spans="1:8" x14ac:dyDescent="0.3">
      <c r="A126" s="94" t="s">
        <v>554</v>
      </c>
      <c r="B126" s="95" t="s">
        <v>266</v>
      </c>
      <c r="C126" s="71"/>
    </row>
  </sheetData>
  <sheetProtection sheet="1" objects="1" scenarios="1"/>
  <mergeCells count="15">
    <mergeCell ref="A5:H5"/>
    <mergeCell ref="E103:H104"/>
    <mergeCell ref="D8:G8"/>
    <mergeCell ref="B67:H68"/>
    <mergeCell ref="B84:H85"/>
    <mergeCell ref="B80:H82"/>
    <mergeCell ref="B78:H79"/>
    <mergeCell ref="B71:H73"/>
    <mergeCell ref="B74:H76"/>
    <mergeCell ref="B69:C69"/>
    <mergeCell ref="B98:H100"/>
    <mergeCell ref="B96:H97"/>
    <mergeCell ref="B92:H94"/>
    <mergeCell ref="B90:H91"/>
    <mergeCell ref="B86:H88"/>
  </mergeCells>
  <conditionalFormatting sqref="B80">
    <cfRule type="expression" dxfId="55" priority="12">
      <formula>$B$80=""</formula>
    </cfRule>
  </conditionalFormatting>
  <conditionalFormatting sqref="B86">
    <cfRule type="expression" dxfId="54" priority="11">
      <formula>$B$86=""</formula>
    </cfRule>
  </conditionalFormatting>
  <conditionalFormatting sqref="B92">
    <cfRule type="expression" dxfId="53" priority="10">
      <formula>$B$92=""</formula>
    </cfRule>
  </conditionalFormatting>
  <conditionalFormatting sqref="B98">
    <cfRule type="expression" dxfId="52" priority="9">
      <formula>$B$98=""</formula>
    </cfRule>
  </conditionalFormatting>
  <conditionalFormatting sqref="B69:H69">
    <cfRule type="expression" dxfId="51" priority="7">
      <formula>$B$69=$K$68</formula>
    </cfRule>
  </conditionalFormatting>
  <conditionalFormatting sqref="B71:H73">
    <cfRule type="expression" dxfId="50" priority="4">
      <formula>AND($H$19=0,$H$28=0)</formula>
    </cfRule>
  </conditionalFormatting>
  <conditionalFormatting sqref="B74:H76">
    <cfRule type="expression" dxfId="49" priority="5">
      <formula>AND($H$19=0,$H$28=0,$B$74="")</formula>
    </cfRule>
  </conditionalFormatting>
  <conditionalFormatting sqref="D17:F17">
    <cfRule type="expression" dxfId="48" priority="3">
      <formula>ISBLANK(D17)</formula>
    </cfRule>
  </conditionalFormatting>
  <conditionalFormatting sqref="G2:G3">
    <cfRule type="cellIs" dxfId="47" priority="1" operator="equal">
      <formula>""</formula>
    </cfRule>
  </conditionalFormatting>
  <conditionalFormatting sqref="G17">
    <cfRule type="expression" dxfId="46" priority="2">
      <formula>$G$17=""</formula>
    </cfRule>
  </conditionalFormatting>
  <conditionalFormatting sqref="H18:H19 H27:H28 D33:F33 H36:H37 D42:F42 H45:H46">
    <cfRule type="expression" dxfId="45" priority="14">
      <formula>D18=""</formula>
    </cfRule>
  </conditionalFormatting>
  <dataValidations count="1">
    <dataValidation type="list" allowBlank="1" showInputMessage="1" showErrorMessage="1" sqref="B69" xr:uid="{00000000-0002-0000-1400-000000000000}">
      <formula1>$K$68:$K$69</formula1>
    </dataValidation>
  </dataValidations>
  <hyperlinks>
    <hyperlink ref="B67" r:id="rId1" display="Tex. Ins. Code § 2251.002" xr:uid="{00000000-0004-0000-1400-000000000000}"/>
    <hyperlink ref="B67:H68" r:id="rId2" display="Confirm compliance with Tex. Ins. Code § 2251.002, which prohibits the use in rate calculations of certain administrative expenses that exceed 110% of the industry median (shown above under General Expenses)?" xr:uid="{00000000-0004-0000-1400-000001000000}"/>
    <hyperlink ref="E103" r:id="rId3" display="From TDI website" xr:uid="{00000000-0004-0000-1400-000002000000}"/>
    <hyperlink ref="C17" r:id="rId4" xr:uid="{27FC039B-0126-47CB-81AB-0B1545E21158}"/>
  </hyperlinks>
  <printOptions horizontalCentered="1"/>
  <pageMargins left="0.5" right="0.5" top="0.5" bottom="0.5" header="0.3" footer="0.3"/>
  <pageSetup scale="85" orientation="portrait" r:id="rId5"/>
  <rowBreaks count="2" manualBreakCount="2">
    <brk id="56" max="16383" man="1"/>
    <brk id="101"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dimension ref="A1:J51"/>
  <sheetViews>
    <sheetView showGridLines="0" zoomScaleNormal="100" zoomScaleSheetLayoutView="110" workbookViewId="0"/>
  </sheetViews>
  <sheetFormatPr defaultColWidth="8.88671875" defaultRowHeight="19.2" x14ac:dyDescent="0.45"/>
  <cols>
    <col min="1" max="1" width="4.88671875" style="257" customWidth="1"/>
    <col min="2" max="2" width="25.33203125" style="257" customWidth="1"/>
    <col min="3" max="3" width="15.6640625" style="257" customWidth="1"/>
    <col min="4" max="4" width="14.109375" style="257" customWidth="1"/>
    <col min="5" max="6" width="8.88671875" style="257"/>
    <col min="7" max="7" width="14.109375" style="257" customWidth="1"/>
    <col min="8" max="9" width="8.88671875" style="257"/>
    <col min="10" max="10" width="8.88671875" style="257" hidden="1" customWidth="1"/>
    <col min="11" max="16384" width="8.88671875" style="257"/>
  </cols>
  <sheetData>
    <row r="1" spans="1:7" x14ac:dyDescent="0.45">
      <c r="A1" s="1055" t="str">
        <f>'General Information'!$A$1</f>
        <v>Texas Department of Insurance</v>
      </c>
    </row>
    <row r="2" spans="1:7" x14ac:dyDescent="0.45">
      <c r="A2" s="1055" t="str">
        <f>'General Information'!$A$2</f>
        <v>Property and Casualty Rate Filing Exhibits</v>
      </c>
      <c r="E2" s="160" t="s">
        <v>97</v>
      </c>
      <c r="F2" s="1018" t="str">
        <f>'General Information'!$E$2</f>
        <v>Fill out Gen Info</v>
      </c>
    </row>
    <row r="3" spans="1:7" x14ac:dyDescent="0.45">
      <c r="A3" s="1055" t="str">
        <f>'General Information'!$A$3</f>
        <v>Rate Filing Template (2025 Edition)</v>
      </c>
      <c r="E3" s="160" t="s">
        <v>98</v>
      </c>
      <c r="F3" s="1018" t="str">
        <f>'General Information'!$E$3</f>
        <v>Fill out Gen Info</v>
      </c>
    </row>
    <row r="4" spans="1:7" x14ac:dyDescent="0.45">
      <c r="B4" s="374"/>
    </row>
    <row r="5" spans="1:7" x14ac:dyDescent="0.45">
      <c r="A5" s="1221" t="s">
        <v>581</v>
      </c>
      <c r="B5" s="1199"/>
      <c r="C5" s="1199"/>
      <c r="D5" s="1199"/>
      <c r="E5" s="1199"/>
      <c r="F5" s="1199"/>
      <c r="G5" s="1199"/>
    </row>
    <row r="7" spans="1:7" x14ac:dyDescent="0.45">
      <c r="B7" s="370"/>
    </row>
    <row r="8" spans="1:7" x14ac:dyDescent="0.45">
      <c r="B8" s="1451" t="s">
        <v>582</v>
      </c>
      <c r="C8" s="1452"/>
      <c r="D8" s="1080" t="s">
        <v>583</v>
      </c>
    </row>
    <row r="9" spans="1:7" x14ac:dyDescent="0.45">
      <c r="A9" s="307">
        <v>-1</v>
      </c>
      <c r="B9" s="1443" t="s">
        <v>584</v>
      </c>
      <c r="C9" s="1444"/>
      <c r="D9" s="886"/>
    </row>
    <row r="10" spans="1:7" x14ac:dyDescent="0.45">
      <c r="A10" s="307">
        <f>A9-1</f>
        <v>-2</v>
      </c>
      <c r="B10" s="1440" t="s">
        <v>585</v>
      </c>
      <c r="C10" s="1441"/>
      <c r="D10" s="887"/>
    </row>
    <row r="11" spans="1:7" x14ac:dyDescent="0.45">
      <c r="A11" s="307">
        <f t="shared" ref="A11:A17" si="0">A10-1</f>
        <v>-3</v>
      </c>
      <c r="B11" s="1442" t="s">
        <v>586</v>
      </c>
      <c r="C11" s="1137"/>
      <c r="D11" s="888"/>
    </row>
    <row r="12" spans="1:7" x14ac:dyDescent="0.45">
      <c r="A12" s="307">
        <f t="shared" si="0"/>
        <v>-4</v>
      </c>
      <c r="B12" s="1440" t="str">
        <f>IF('9-Modeled Cat'!B70='9-Modeled Cat'!K70,"Modeled Losses Gross of Recoverables",IF('9-Modeled Cat'!B70='9-Modeled Cat'!K69,"Modeled Losses Net of Recoverables","Modeled Losses from Exhibit 8"))</f>
        <v>Modeled Losses Net of Recoverables</v>
      </c>
      <c r="C12" s="1441"/>
      <c r="D12" s="889">
        <f>'9-Modeled Cat'!D67</f>
        <v>0</v>
      </c>
      <c r="E12" s="890" t="str">
        <f>IF('9-Modeled Cat'!B70='9-Modeled Cat'!K70,IF(ROUND('12-Reinsurance'!D12,0)=ROUND('12-Reinsurance'!D10,0)+ROUND('12-Reinsurance'!D11,0),"  Match Confirmed","  Does Not Match (2) + (3)!"),IF('9-Modeled Cat'!B70='9-Modeled Cat'!K69,IF(ROUND('12-Reinsurance'!D12,0)=ROUND('12-Reinsurance'!D11,0),"  Match Confirmed","  Does Not Match (3)!"),"  Does Not Match"))</f>
        <v xml:space="preserve">  Match Confirmed</v>
      </c>
    </row>
    <row r="13" spans="1:7" x14ac:dyDescent="0.45">
      <c r="A13" s="307">
        <f>A12-1</f>
        <v>-5</v>
      </c>
      <c r="B13" s="1442" t="str">
        <f>IF('9-Modeled Cat'!B70='9-Modeled Cat'!K70,"Cost of Reinsurance","Net Cost of Reinsurance")</f>
        <v>Net Cost of Reinsurance</v>
      </c>
      <c r="C13" s="1137"/>
      <c r="D13" s="891">
        <f>IF('9-Modeled Cat'!B70='9-Modeled Cat'!K69,D9,D9-D10)</f>
        <v>0</v>
      </c>
    </row>
    <row r="14" spans="1:7" x14ac:dyDescent="0.45">
      <c r="A14" s="307">
        <f t="shared" si="0"/>
        <v>-6</v>
      </c>
      <c r="B14" s="1440" t="s">
        <v>320</v>
      </c>
      <c r="C14" s="1441"/>
      <c r="D14" s="887"/>
    </row>
    <row r="15" spans="1:7" x14ac:dyDescent="0.45">
      <c r="A15" s="307">
        <f t="shared" si="0"/>
        <v>-7</v>
      </c>
      <c r="B15" s="1442" t="str">
        <f>IF('9-Modeled Cat'!B70='9-Modeled Cat'!K70,"Cost of Reinsurance Expense Load","Net Cost of Reinsurance Expense Load")</f>
        <v>Net Cost of Reinsurance Expense Load</v>
      </c>
      <c r="C15" s="1137"/>
      <c r="D15" s="712">
        <f>IFERROR(D13/D14,0)</f>
        <v>0</v>
      </c>
    </row>
    <row r="16" spans="1:7" x14ac:dyDescent="0.45">
      <c r="A16" s="307">
        <f t="shared" si="0"/>
        <v>-8</v>
      </c>
      <c r="B16" s="1440" t="str">
        <f>IF('9-Modeled Cat'!B70='9-Modeled Cat'!K70,"Selected Fixed Cost of Reinsurance","Selected Fixed Net Cost of Reinsurance")</f>
        <v>Selected Fixed Net Cost of Reinsurance</v>
      </c>
      <c r="C16" s="1441"/>
      <c r="D16" s="560"/>
    </row>
    <row r="17" spans="1:10" x14ac:dyDescent="0.45">
      <c r="A17" s="307">
        <f t="shared" si="0"/>
        <v>-9</v>
      </c>
      <c r="B17" s="1327" t="str">
        <f>IF('9-Modeled Cat'!B70='9-Modeled Cat'!K70,"Selected Variable Cost of Reinsurance","Selected Variable Net Cost of Reins.")</f>
        <v>Selected Variable Net Cost of Reins.</v>
      </c>
      <c r="C17" s="1454"/>
      <c r="D17" s="892"/>
    </row>
    <row r="19" spans="1:10" x14ac:dyDescent="0.45">
      <c r="A19" s="307">
        <f>A17-1</f>
        <v>-10</v>
      </c>
      <c r="B19" s="1346" t="s">
        <v>587</v>
      </c>
      <c r="C19" s="1347"/>
      <c r="D19" s="1347"/>
      <c r="E19" s="1347"/>
      <c r="F19" s="1347"/>
      <c r="G19" s="1348"/>
      <c r="H19" s="310"/>
    </row>
    <row r="20" spans="1:10" x14ac:dyDescent="0.45">
      <c r="B20" s="1445"/>
      <c r="C20" s="1446"/>
      <c r="D20" s="1446"/>
      <c r="E20" s="1446"/>
      <c r="F20" s="1446"/>
      <c r="G20" s="1447"/>
      <c r="H20" s="310"/>
    </row>
    <row r="21" spans="1:10" x14ac:dyDescent="0.45">
      <c r="B21" s="1349"/>
      <c r="C21" s="1350"/>
      <c r="D21" s="1350"/>
      <c r="E21" s="1350"/>
      <c r="F21" s="1350"/>
      <c r="G21" s="1351"/>
      <c r="H21" s="310"/>
    </row>
    <row r="22" spans="1:10" x14ac:dyDescent="0.45">
      <c r="B22" s="1309"/>
      <c r="C22" s="1310"/>
      <c r="D22" s="1310"/>
      <c r="E22" s="1310"/>
      <c r="F22" s="1310"/>
      <c r="G22" s="1311"/>
      <c r="H22" s="766"/>
    </row>
    <row r="23" spans="1:10" x14ac:dyDescent="0.45">
      <c r="B23" s="1312"/>
      <c r="C23" s="1313"/>
      <c r="D23" s="1313"/>
      <c r="E23" s="1313"/>
      <c r="F23" s="1313"/>
      <c r="G23" s="1314"/>
      <c r="H23" s="766"/>
    </row>
    <row r="25" spans="1:10" ht="38.4" customHeight="1" x14ac:dyDescent="0.45">
      <c r="A25" s="896">
        <f>A19-1</f>
        <v>-11</v>
      </c>
      <c r="B25" s="1437" t="s">
        <v>588</v>
      </c>
      <c r="C25" s="1438"/>
      <c r="D25" s="1438"/>
      <c r="E25" s="1438"/>
      <c r="F25" s="1438"/>
      <c r="G25" s="1439"/>
    </row>
    <row r="26" spans="1:10" x14ac:dyDescent="0.45">
      <c r="B26" s="1251"/>
      <c r="C26" s="1252"/>
      <c r="D26" s="1252"/>
      <c r="E26" s="1252"/>
      <c r="F26" s="1252"/>
      <c r="G26" s="1253"/>
    </row>
    <row r="27" spans="1:10" x14ac:dyDescent="0.45">
      <c r="B27" s="1183"/>
      <c r="C27" s="1184"/>
      <c r="D27" s="1184"/>
      <c r="E27" s="1184"/>
      <c r="F27" s="1184"/>
      <c r="G27" s="1185"/>
    </row>
    <row r="29" spans="1:10" x14ac:dyDescent="0.45">
      <c r="A29" s="307">
        <f>A25-1</f>
        <v>-12</v>
      </c>
      <c r="B29" s="1298" t="s">
        <v>589</v>
      </c>
      <c r="C29" s="1299"/>
      <c r="D29" s="1299"/>
      <c r="E29" s="1299"/>
      <c r="F29" s="1299"/>
      <c r="G29" s="1300"/>
      <c r="J29" s="1103"/>
    </row>
    <row r="30" spans="1:10" ht="38.4" customHeight="1" x14ac:dyDescent="0.45">
      <c r="B30" s="1448"/>
      <c r="C30" s="1449"/>
      <c r="D30" s="1449"/>
      <c r="E30" s="1449"/>
      <c r="F30" s="1449"/>
      <c r="G30" s="1450"/>
    </row>
    <row r="31" spans="1:10" x14ac:dyDescent="0.45">
      <c r="B31" s="831" t="s">
        <v>35</v>
      </c>
      <c r="C31" s="832"/>
      <c r="D31" s="832"/>
      <c r="E31" s="832"/>
      <c r="F31" s="832"/>
      <c r="G31" s="833"/>
    </row>
    <row r="32" spans="1:10" x14ac:dyDescent="0.45">
      <c r="B32" s="1445" t="s">
        <v>590</v>
      </c>
      <c r="C32" s="1446"/>
      <c r="D32" s="1446"/>
      <c r="E32" s="1446"/>
      <c r="F32" s="1446"/>
      <c r="G32" s="1447"/>
      <c r="J32" s="1103"/>
    </row>
    <row r="33" spans="1:10" ht="38.4" customHeight="1" x14ac:dyDescent="0.45">
      <c r="B33" s="1445"/>
      <c r="C33" s="1446"/>
      <c r="D33" s="1446"/>
      <c r="E33" s="1446"/>
      <c r="F33" s="1446"/>
      <c r="G33" s="1447"/>
    </row>
    <row r="34" spans="1:10" x14ac:dyDescent="0.45">
      <c r="B34" s="1453"/>
      <c r="C34" s="1453"/>
      <c r="D34" s="1453"/>
      <c r="E34" s="1453"/>
      <c r="F34" s="1453"/>
      <c r="G34" s="1453"/>
    </row>
    <row r="35" spans="1:10" x14ac:dyDescent="0.45">
      <c r="B35" s="1341"/>
      <c r="C35" s="1341"/>
      <c r="D35" s="1341"/>
      <c r="E35" s="1341"/>
      <c r="F35" s="1341"/>
      <c r="G35" s="1341"/>
    </row>
    <row r="37" spans="1:10" ht="38.4" customHeight="1" x14ac:dyDescent="0.45">
      <c r="A37" s="839">
        <f>A29-1</f>
        <v>-13</v>
      </c>
      <c r="B37" s="1177" t="s">
        <v>591</v>
      </c>
      <c r="C37" s="1178"/>
      <c r="D37" s="1178"/>
      <c r="E37" s="1178"/>
      <c r="F37" s="1178"/>
      <c r="G37" s="1179"/>
    </row>
    <row r="38" spans="1:10" x14ac:dyDescent="0.45">
      <c r="B38" s="1251"/>
      <c r="C38" s="1252"/>
      <c r="D38" s="1252"/>
      <c r="E38" s="1252"/>
      <c r="F38" s="1252"/>
      <c r="G38" s="1253"/>
    </row>
    <row r="39" spans="1:10" x14ac:dyDescent="0.45">
      <c r="B39" s="1183"/>
      <c r="C39" s="1184"/>
      <c r="D39" s="1184"/>
      <c r="E39" s="1184"/>
      <c r="F39" s="1184"/>
      <c r="G39" s="1185"/>
    </row>
    <row r="41" spans="1:10" ht="38.4" customHeight="1" x14ac:dyDescent="0.45">
      <c r="A41" s="895">
        <f>A37-1</f>
        <v>-14</v>
      </c>
      <c r="B41" s="1177" t="s">
        <v>592</v>
      </c>
      <c r="C41" s="1178"/>
      <c r="D41" s="1178"/>
      <c r="E41" s="1178"/>
      <c r="F41" s="1178"/>
      <c r="G41" s="1179"/>
      <c r="J41" s="257" t="s">
        <v>35</v>
      </c>
    </row>
    <row r="42" spans="1:10" x14ac:dyDescent="0.45">
      <c r="A42" s="307"/>
      <c r="B42" s="1090" t="s">
        <v>35</v>
      </c>
      <c r="C42" s="893"/>
      <c r="D42" s="893"/>
      <c r="E42" s="893"/>
      <c r="F42" s="893"/>
      <c r="G42" s="894"/>
      <c r="J42" s="257" t="s">
        <v>27</v>
      </c>
    </row>
    <row r="43" spans="1:10" x14ac:dyDescent="0.45">
      <c r="B43" s="1324" t="s">
        <v>593</v>
      </c>
      <c r="C43" s="1325"/>
      <c r="D43" s="1325"/>
      <c r="E43" s="1325"/>
      <c r="F43" s="1325"/>
      <c r="G43" s="1326"/>
      <c r="J43" s="257" t="s">
        <v>28</v>
      </c>
    </row>
    <row r="44" spans="1:10" x14ac:dyDescent="0.45">
      <c r="B44" s="1251"/>
      <c r="C44" s="1252"/>
      <c r="D44" s="1252"/>
      <c r="E44" s="1252"/>
      <c r="F44" s="1252"/>
      <c r="G44" s="1253"/>
    </row>
    <row r="45" spans="1:10" x14ac:dyDescent="0.45">
      <c r="B45" s="1183"/>
      <c r="C45" s="1184"/>
      <c r="D45" s="1184"/>
      <c r="E45" s="1184"/>
      <c r="F45" s="1184"/>
      <c r="G45" s="1185"/>
    </row>
    <row r="46" spans="1:10" x14ac:dyDescent="0.45">
      <c r="B46" s="1082"/>
      <c r="C46" s="1082"/>
      <c r="D46" s="1082"/>
      <c r="E46" s="1082"/>
      <c r="F46" s="1082"/>
      <c r="G46" s="1082"/>
    </row>
    <row r="47" spans="1:10" x14ac:dyDescent="0.45">
      <c r="A47" s="274" t="s">
        <v>263</v>
      </c>
    </row>
    <row r="48" spans="1:10" x14ac:dyDescent="0.45">
      <c r="A48" s="307">
        <v>-4</v>
      </c>
      <c r="B48" s="372" t="s">
        <v>594</v>
      </c>
    </row>
    <row r="49" spans="1:2" x14ac:dyDescent="0.45">
      <c r="A49" s="307">
        <v>-5</v>
      </c>
      <c r="B49" s="372" t="str">
        <f>IF('9-Modeled Cat'!B70="Gross","= (1)","= (1) - (2)")</f>
        <v>= (1) - (2)</v>
      </c>
    </row>
    <row r="50" spans="1:2" x14ac:dyDescent="0.45">
      <c r="A50" s="307">
        <v>-7</v>
      </c>
      <c r="B50" s="372" t="s">
        <v>595</v>
      </c>
    </row>
    <row r="51" spans="1:2" x14ac:dyDescent="0.45">
      <c r="A51" s="370" t="s">
        <v>596</v>
      </c>
    </row>
  </sheetData>
  <sheetProtection sheet="1" objects="1" scenarios="1"/>
  <mergeCells count="23">
    <mergeCell ref="B9:C9"/>
    <mergeCell ref="B19:G21"/>
    <mergeCell ref="A5:G5"/>
    <mergeCell ref="B44:G45"/>
    <mergeCell ref="B26:G27"/>
    <mergeCell ref="B38:G39"/>
    <mergeCell ref="B29:G30"/>
    <mergeCell ref="B43:G43"/>
    <mergeCell ref="B32:G33"/>
    <mergeCell ref="B41:G41"/>
    <mergeCell ref="B37:G37"/>
    <mergeCell ref="B8:C8"/>
    <mergeCell ref="B34:G35"/>
    <mergeCell ref="B17:C17"/>
    <mergeCell ref="B16:C16"/>
    <mergeCell ref="B15:C15"/>
    <mergeCell ref="B22:G23"/>
    <mergeCell ref="B25:G25"/>
    <mergeCell ref="B12:C12"/>
    <mergeCell ref="B11:C11"/>
    <mergeCell ref="B10:C10"/>
    <mergeCell ref="B14:C14"/>
    <mergeCell ref="B13:C13"/>
  </mergeCells>
  <conditionalFormatting sqref="B19">
    <cfRule type="expression" dxfId="44" priority="2">
      <formula>$D$17&gt;0</formula>
    </cfRule>
  </conditionalFormatting>
  <conditionalFormatting sqref="B22">
    <cfRule type="expression" dxfId="43" priority="3">
      <formula>AND($D$17&gt;0,$B$22="")</formula>
    </cfRule>
  </conditionalFormatting>
  <conditionalFormatting sqref="B32">
    <cfRule type="expression" dxfId="42" priority="136">
      <formula>$B$31=$J$43</formula>
    </cfRule>
  </conditionalFormatting>
  <conditionalFormatting sqref="B34">
    <cfRule type="expression" dxfId="41" priority="137">
      <formula>AND($B$31=$J$43,$B$34="")</formula>
    </cfRule>
  </conditionalFormatting>
  <conditionalFormatting sqref="B43">
    <cfRule type="expression" dxfId="40" priority="29">
      <formula>$B$42=$J$42</formula>
    </cfRule>
  </conditionalFormatting>
  <conditionalFormatting sqref="B44">
    <cfRule type="expression" dxfId="39" priority="17">
      <formula>AND($B$42=$J$42,$B$44="")</formula>
    </cfRule>
  </conditionalFormatting>
  <conditionalFormatting sqref="B26:G27 B38:G39">
    <cfRule type="expression" dxfId="38" priority="10">
      <formula>$B26=""</formula>
    </cfRule>
  </conditionalFormatting>
  <conditionalFormatting sqref="B31:G31">
    <cfRule type="expression" dxfId="37" priority="30">
      <formula>$B$31="Select"</formula>
    </cfRule>
  </conditionalFormatting>
  <conditionalFormatting sqref="B42:G42">
    <cfRule type="expression" dxfId="36" priority="20">
      <formula>$B$42=$J$41</formula>
    </cfRule>
  </conditionalFormatting>
  <conditionalFormatting sqref="D9:D11 D14 D16:D17">
    <cfRule type="expression" dxfId="35" priority="11">
      <formula>$D9=""</formula>
    </cfRule>
  </conditionalFormatting>
  <conditionalFormatting sqref="F2:F3">
    <cfRule type="cellIs" dxfId="34" priority="1" operator="equal">
      <formula>""</formula>
    </cfRule>
  </conditionalFormatting>
  <dataValidations count="1">
    <dataValidation type="list" allowBlank="1" showInputMessage="1" showErrorMessage="1" sqref="B31 G42 B42" xr:uid="{00000000-0002-0000-1500-000000000000}">
      <formula1>$J$41:$J$43</formula1>
    </dataValidation>
  </dataValidations>
  <printOptions horizontalCentered="1"/>
  <pageMargins left="0.5" right="0.5" top="0.5" bottom="0.5" header="0.3" footer="0.3"/>
  <pageSetup orientation="portrait" r:id="rId1"/>
  <rowBreaks count="1" manualBreakCount="1">
    <brk id="28" max="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A1:H49"/>
  <sheetViews>
    <sheetView showGridLines="0" zoomScaleNormal="100" zoomScalePageLayoutView="55" workbookViewId="0"/>
  </sheetViews>
  <sheetFormatPr defaultColWidth="8.88671875" defaultRowHeight="19.2" x14ac:dyDescent="0.45"/>
  <cols>
    <col min="1" max="1" width="5.109375" style="257" customWidth="1"/>
    <col min="2" max="2" width="22.109375" style="257" customWidth="1"/>
    <col min="3" max="3" width="5.6640625" style="257" customWidth="1"/>
    <col min="4" max="4" width="28.44140625" style="257" customWidth="1"/>
    <col min="5" max="5" width="13.44140625" style="863" customWidth="1"/>
    <col min="6" max="6" width="23" style="257" customWidth="1"/>
    <col min="7" max="7" width="8.88671875" style="257"/>
    <col min="8" max="8" width="8.88671875" style="257" hidden="1" customWidth="1"/>
    <col min="9" max="16384" width="8.88671875" style="257"/>
  </cols>
  <sheetData>
    <row r="1" spans="1:6" x14ac:dyDescent="0.45">
      <c r="A1" s="1055" t="str">
        <f>'General Information'!$A$1</f>
        <v>Texas Department of Insurance</v>
      </c>
      <c r="E1" s="257"/>
    </row>
    <row r="2" spans="1:6" x14ac:dyDescent="0.45">
      <c r="A2" s="1055" t="str">
        <f>'General Information'!$A$2</f>
        <v>Property and Casualty Rate Filing Exhibits</v>
      </c>
      <c r="E2" s="160" t="s">
        <v>97</v>
      </c>
      <c r="F2" s="1018" t="str">
        <f>'General Information'!$E$2</f>
        <v>Fill out Gen Info</v>
      </c>
    </row>
    <row r="3" spans="1:6" x14ac:dyDescent="0.45">
      <c r="A3" s="1055" t="str">
        <f>'General Information'!$A$3</f>
        <v>Rate Filing Template (2025 Edition)</v>
      </c>
      <c r="E3" s="160" t="s">
        <v>98</v>
      </c>
      <c r="F3" s="1018" t="str">
        <f>'General Information'!$E$3</f>
        <v>Fill out Gen Info</v>
      </c>
    </row>
    <row r="4" spans="1:6" x14ac:dyDescent="0.45">
      <c r="B4" s="374"/>
      <c r="E4" s="257"/>
    </row>
    <row r="5" spans="1:6" x14ac:dyDescent="0.45">
      <c r="A5" s="1221" t="s">
        <v>597</v>
      </c>
      <c r="B5" s="1199"/>
      <c r="C5" s="1199"/>
      <c r="D5" s="1199"/>
      <c r="E5" s="1199"/>
      <c r="F5" s="1199"/>
    </row>
    <row r="6" spans="1:6" x14ac:dyDescent="0.45">
      <c r="E6" s="257"/>
    </row>
    <row r="7" spans="1:6" x14ac:dyDescent="0.45">
      <c r="B7" s="370"/>
      <c r="E7" s="257"/>
    </row>
    <row r="8" spans="1:6" x14ac:dyDescent="0.45">
      <c r="B8" s="1456" t="s">
        <v>582</v>
      </c>
      <c r="C8" s="1456"/>
      <c r="D8" s="1456"/>
      <c r="E8" s="1457"/>
      <c r="F8" s="1080" t="s">
        <v>583</v>
      </c>
    </row>
    <row r="9" spans="1:6" x14ac:dyDescent="0.45">
      <c r="A9" s="307">
        <f>-1</f>
        <v>-1</v>
      </c>
      <c r="B9" s="576" t="s">
        <v>598</v>
      </c>
      <c r="C9" s="1081"/>
      <c r="D9" s="1081"/>
      <c r="E9" s="1026"/>
      <c r="F9" s="905"/>
    </row>
    <row r="10" spans="1:6" x14ac:dyDescent="0.45">
      <c r="A10" s="307">
        <f>A9-1</f>
        <v>-2</v>
      </c>
      <c r="B10" s="1027" t="s">
        <v>599</v>
      </c>
      <c r="C10" s="1028"/>
      <c r="D10" s="1028"/>
      <c r="E10" s="1029"/>
      <c r="F10" s="906"/>
    </row>
    <row r="11" spans="1:6" x14ac:dyDescent="0.45">
      <c r="A11" s="307">
        <f>A10-1</f>
        <v>-3</v>
      </c>
      <c r="B11" s="576" t="s">
        <v>600</v>
      </c>
      <c r="C11" s="1081"/>
      <c r="D11" s="1081"/>
      <c r="E11" s="1026"/>
      <c r="F11" s="907">
        <f>F10*F9</f>
        <v>0</v>
      </c>
    </row>
    <row r="12" spans="1:6" x14ac:dyDescent="0.45">
      <c r="A12" s="839">
        <f t="shared" ref="A12:A24" si="0">A11-1</f>
        <v>-4</v>
      </c>
      <c r="B12" s="1027" t="s">
        <v>601</v>
      </c>
      <c r="C12" s="1030"/>
      <c r="D12" s="1030"/>
      <c r="E12" s="1031"/>
      <c r="F12" s="908"/>
    </row>
    <row r="13" spans="1:6" x14ac:dyDescent="0.45">
      <c r="A13" s="307">
        <f t="shared" si="0"/>
        <v>-5</v>
      </c>
      <c r="B13" s="576" t="s">
        <v>602</v>
      </c>
      <c r="C13" s="1081"/>
      <c r="D13" s="1081"/>
      <c r="E13" s="1026"/>
      <c r="F13" s="909"/>
    </row>
    <row r="14" spans="1:6" x14ac:dyDescent="0.45">
      <c r="A14" s="307">
        <f t="shared" si="0"/>
        <v>-6</v>
      </c>
      <c r="B14" s="1027" t="s">
        <v>603</v>
      </c>
      <c r="C14" s="1028"/>
      <c r="D14" s="1028"/>
      <c r="E14" s="1029"/>
      <c r="F14" s="910">
        <f>F12*(1-F13)</f>
        <v>0</v>
      </c>
    </row>
    <row r="15" spans="1:6" x14ac:dyDescent="0.45">
      <c r="A15" s="307">
        <f t="shared" si="0"/>
        <v>-7</v>
      </c>
      <c r="B15" s="576" t="s">
        <v>604</v>
      </c>
      <c r="C15" s="1081"/>
      <c r="D15" s="1081"/>
      <c r="E15" s="1026"/>
      <c r="F15" s="907">
        <f>F11-F14</f>
        <v>0</v>
      </c>
    </row>
    <row r="16" spans="1:6" x14ac:dyDescent="0.45">
      <c r="A16" s="307">
        <f t="shared" si="0"/>
        <v>-8</v>
      </c>
      <c r="B16" s="1027" t="s">
        <v>605</v>
      </c>
      <c r="C16" s="1028"/>
      <c r="D16" s="1028"/>
      <c r="E16" s="1029"/>
      <c r="F16" s="911"/>
    </row>
    <row r="17" spans="1:8" x14ac:dyDescent="0.45">
      <c r="A17" s="307">
        <f t="shared" si="0"/>
        <v>-9</v>
      </c>
      <c r="B17" s="576" t="s">
        <v>606</v>
      </c>
      <c r="C17" s="1081"/>
      <c r="D17" s="1081"/>
      <c r="E17" s="1026"/>
      <c r="F17" s="912"/>
    </row>
    <row r="18" spans="1:8" x14ac:dyDescent="0.45">
      <c r="A18" s="307">
        <f t="shared" si="0"/>
        <v>-10</v>
      </c>
      <c r="B18" s="1027" t="s">
        <v>607</v>
      </c>
      <c r="C18" s="1028"/>
      <c r="D18" s="1028"/>
      <c r="E18" s="1029"/>
      <c r="F18" s="911"/>
    </row>
    <row r="19" spans="1:8" x14ac:dyDescent="0.45">
      <c r="A19" s="307">
        <f t="shared" si="0"/>
        <v>-11</v>
      </c>
      <c r="B19" s="576" t="s">
        <v>608</v>
      </c>
      <c r="C19" s="1081"/>
      <c r="D19" s="1081"/>
      <c r="E19" s="1026"/>
      <c r="F19" s="913">
        <f>IFERROR(F16/AVERAGE(F17:F18),1)</f>
        <v>1</v>
      </c>
    </row>
    <row r="20" spans="1:8" x14ac:dyDescent="0.45">
      <c r="A20" s="307">
        <f t="shared" si="0"/>
        <v>-12</v>
      </c>
      <c r="B20" s="1027" t="s">
        <v>609</v>
      </c>
      <c r="C20" s="1028"/>
      <c r="D20" s="1028"/>
      <c r="E20" s="1029"/>
      <c r="F20" s="914"/>
    </row>
    <row r="21" spans="1:8" x14ac:dyDescent="0.45">
      <c r="A21" s="839">
        <f t="shared" si="0"/>
        <v>-13</v>
      </c>
      <c r="B21" s="574" t="s">
        <v>610</v>
      </c>
      <c r="C21" s="1032"/>
      <c r="D21" s="1032"/>
      <c r="E21" s="1033"/>
      <c r="F21" s="915"/>
    </row>
    <row r="22" spans="1:8" x14ac:dyDescent="0.45">
      <c r="A22" s="839">
        <f t="shared" si="0"/>
        <v>-14</v>
      </c>
      <c r="B22" s="1034" t="s">
        <v>611</v>
      </c>
      <c r="C22" s="1035"/>
      <c r="D22" s="1035"/>
      <c r="E22" s="1036"/>
      <c r="F22" s="908"/>
    </row>
    <row r="23" spans="1:8" x14ac:dyDescent="0.45">
      <c r="A23" s="839">
        <f t="shared" si="0"/>
        <v>-15</v>
      </c>
      <c r="B23" s="576" t="s">
        <v>612</v>
      </c>
      <c r="C23" s="1081"/>
      <c r="D23" s="1081"/>
      <c r="E23" s="1026"/>
      <c r="F23" s="916"/>
    </row>
    <row r="24" spans="1:8" x14ac:dyDescent="0.45">
      <c r="A24" s="839">
        <f t="shared" si="0"/>
        <v>-16</v>
      </c>
      <c r="B24" s="1027" t="s">
        <v>613</v>
      </c>
      <c r="C24" s="1028"/>
      <c r="D24" s="1028"/>
      <c r="E24" s="1029"/>
      <c r="F24" s="917">
        <f>IFERROR(((F15/F20)-F21*(1-F13)-F22*(1-F23))/(1-F23),0)</f>
        <v>0</v>
      </c>
      <c r="G24" s="897"/>
    </row>
    <row r="25" spans="1:8" x14ac:dyDescent="0.45">
      <c r="E25" s="257"/>
      <c r="F25" s="349"/>
    </row>
    <row r="26" spans="1:8" x14ac:dyDescent="0.45">
      <c r="A26" s="839">
        <f>A24-1</f>
        <v>-17</v>
      </c>
      <c r="B26" s="288" t="s">
        <v>614</v>
      </c>
      <c r="C26" s="288"/>
      <c r="D26" s="288"/>
      <c r="E26" s="257"/>
      <c r="F26" s="898"/>
    </row>
    <row r="27" spans="1:8" x14ac:dyDescent="0.45">
      <c r="A27" s="839">
        <f>A26-1</f>
        <v>-18</v>
      </c>
      <c r="B27" s="288" t="s">
        <v>615</v>
      </c>
      <c r="C27" s="288"/>
      <c r="D27" s="288"/>
      <c r="E27" s="257"/>
      <c r="F27" s="899"/>
      <c r="H27" s="257" t="s">
        <v>35</v>
      </c>
    </row>
    <row r="28" spans="1:8" x14ac:dyDescent="0.45">
      <c r="B28" s="1455" t="s">
        <v>616</v>
      </c>
      <c r="C28" s="1455"/>
      <c r="D28" s="1455"/>
      <c r="E28" s="257"/>
      <c r="F28" s="900" t="s">
        <v>35</v>
      </c>
      <c r="H28" s="257" t="s">
        <v>617</v>
      </c>
    </row>
    <row r="29" spans="1:8" x14ac:dyDescent="0.45">
      <c r="B29" s="288"/>
      <c r="E29" s="257"/>
      <c r="H29" s="257" t="s">
        <v>217</v>
      </c>
    </row>
    <row r="30" spans="1:8" x14ac:dyDescent="0.45">
      <c r="A30" s="307">
        <f>A27-1</f>
        <v>-19</v>
      </c>
      <c r="B30" s="1281" t="s">
        <v>618</v>
      </c>
      <c r="C30" s="1281"/>
      <c r="D30" s="1281"/>
      <c r="E30" s="1281"/>
      <c r="F30" s="1281"/>
    </row>
    <row r="31" spans="1:8" x14ac:dyDescent="0.45">
      <c r="A31" s="307"/>
      <c r="B31" s="1281"/>
      <c r="C31" s="1281"/>
      <c r="D31" s="1281"/>
      <c r="E31" s="1282"/>
      <c r="F31" s="1281"/>
      <c r="H31" s="257" t="s">
        <v>38</v>
      </c>
    </row>
    <row r="32" spans="1:8" x14ac:dyDescent="0.45">
      <c r="A32" s="307"/>
      <c r="B32" s="1083" t="s">
        <v>38</v>
      </c>
      <c r="C32" s="901"/>
      <c r="D32" s="901"/>
      <c r="E32" s="901"/>
      <c r="F32" s="902"/>
      <c r="H32" s="257" t="s">
        <v>39</v>
      </c>
    </row>
    <row r="33" spans="1:6" x14ac:dyDescent="0.45">
      <c r="A33" s="307"/>
      <c r="B33" s="370"/>
      <c r="E33" s="257"/>
    </row>
    <row r="34" spans="1:6" x14ac:dyDescent="0.45">
      <c r="A34" s="307"/>
      <c r="B34" s="370"/>
      <c r="E34" s="257"/>
    </row>
    <row r="35" spans="1:6" x14ac:dyDescent="0.45">
      <c r="A35" s="307">
        <f>A30-1</f>
        <v>-20</v>
      </c>
      <c r="B35" s="903" t="s">
        <v>619</v>
      </c>
      <c r="C35" s="1104"/>
      <c r="D35" s="1104"/>
      <c r="E35" s="1104"/>
      <c r="F35" s="1105"/>
    </row>
    <row r="36" spans="1:6" x14ac:dyDescent="0.45">
      <c r="A36" s="307"/>
      <c r="B36" s="1453"/>
      <c r="C36" s="1453"/>
      <c r="D36" s="1453"/>
      <c r="E36" s="1453"/>
      <c r="F36" s="1453"/>
    </row>
    <row r="37" spans="1:6" x14ac:dyDescent="0.45">
      <c r="A37" s="307"/>
      <c r="B37" s="1453"/>
      <c r="C37" s="1453"/>
      <c r="D37" s="1453"/>
      <c r="E37" s="1341"/>
      <c r="F37" s="1453"/>
    </row>
    <row r="38" spans="1:6" x14ac:dyDescent="0.45">
      <c r="A38" s="307"/>
      <c r="B38" s="1453"/>
      <c r="C38" s="1453"/>
      <c r="D38" s="1453"/>
      <c r="E38" s="1341"/>
      <c r="F38" s="1453"/>
    </row>
    <row r="39" spans="1:6" x14ac:dyDescent="0.45">
      <c r="A39" s="307"/>
      <c r="B39" s="370"/>
      <c r="E39" s="257"/>
    </row>
    <row r="40" spans="1:6" x14ac:dyDescent="0.45">
      <c r="A40" s="274" t="s">
        <v>263</v>
      </c>
      <c r="E40" s="257"/>
    </row>
    <row r="41" spans="1:6" x14ac:dyDescent="0.45">
      <c r="A41" s="307">
        <f>A9</f>
        <v>-1</v>
      </c>
      <c r="B41" s="370" t="s">
        <v>266</v>
      </c>
      <c r="C41" s="307">
        <f>A49-1</f>
        <v>-10</v>
      </c>
      <c r="D41" s="370" t="s">
        <v>266</v>
      </c>
      <c r="E41" s="257"/>
    </row>
    <row r="42" spans="1:6" x14ac:dyDescent="0.45">
      <c r="A42" s="307">
        <f>A10</f>
        <v>-2</v>
      </c>
      <c r="B42" s="370" t="s">
        <v>266</v>
      </c>
      <c r="C42" s="307">
        <f t="shared" ref="C42:C49" si="1">C41-1</f>
        <v>-11</v>
      </c>
      <c r="D42" s="372" t="s">
        <v>620</v>
      </c>
      <c r="E42" s="257"/>
    </row>
    <row r="43" spans="1:6" x14ac:dyDescent="0.45">
      <c r="A43" s="307">
        <f>A11</f>
        <v>-3</v>
      </c>
      <c r="B43" s="372" t="s">
        <v>621</v>
      </c>
      <c r="C43" s="307">
        <f t="shared" si="1"/>
        <v>-12</v>
      </c>
      <c r="D43" s="370" t="s">
        <v>266</v>
      </c>
      <c r="E43" s="257"/>
    </row>
    <row r="44" spans="1:6" x14ac:dyDescent="0.45">
      <c r="A44" s="307">
        <f>A43-1</f>
        <v>-4</v>
      </c>
      <c r="B44" s="370" t="s">
        <v>266</v>
      </c>
      <c r="C44" s="307">
        <f t="shared" si="1"/>
        <v>-13</v>
      </c>
      <c r="D44" s="370" t="s">
        <v>266</v>
      </c>
      <c r="E44" s="257"/>
    </row>
    <row r="45" spans="1:6" x14ac:dyDescent="0.45">
      <c r="A45" s="307">
        <f>A44-1</f>
        <v>-5</v>
      </c>
      <c r="B45" s="370" t="s">
        <v>266</v>
      </c>
      <c r="C45" s="307">
        <f t="shared" si="1"/>
        <v>-14</v>
      </c>
      <c r="D45" s="370" t="s">
        <v>266</v>
      </c>
      <c r="E45" s="257"/>
    </row>
    <row r="46" spans="1:6" x14ac:dyDescent="0.45">
      <c r="A46" s="307">
        <f>A45-1</f>
        <v>-6</v>
      </c>
      <c r="B46" s="372" t="s">
        <v>622</v>
      </c>
      <c r="C46" s="307">
        <f t="shared" si="1"/>
        <v>-15</v>
      </c>
      <c r="D46" s="370" t="s">
        <v>266</v>
      </c>
      <c r="E46" s="257"/>
    </row>
    <row r="47" spans="1:6" x14ac:dyDescent="0.45">
      <c r="A47" s="307">
        <f t="shared" ref="A47:A49" si="2">A46-1</f>
        <v>-7</v>
      </c>
      <c r="B47" s="372" t="s">
        <v>623</v>
      </c>
      <c r="C47" s="307">
        <f t="shared" si="1"/>
        <v>-16</v>
      </c>
      <c r="D47" s="904" t="s">
        <v>624</v>
      </c>
      <c r="E47" s="1100"/>
    </row>
    <row r="48" spans="1:6" x14ac:dyDescent="0.45">
      <c r="A48" s="307">
        <f t="shared" si="2"/>
        <v>-8</v>
      </c>
      <c r="B48" s="370" t="s">
        <v>266</v>
      </c>
      <c r="C48" s="307">
        <f t="shared" si="1"/>
        <v>-17</v>
      </c>
      <c r="D48" s="370" t="s">
        <v>266</v>
      </c>
      <c r="E48" s="1100"/>
    </row>
    <row r="49" spans="1:5" x14ac:dyDescent="0.45">
      <c r="A49" s="307">
        <f t="shared" si="2"/>
        <v>-9</v>
      </c>
      <c r="B49" s="370" t="s">
        <v>266</v>
      </c>
      <c r="C49" s="307">
        <f t="shared" si="1"/>
        <v>-18</v>
      </c>
      <c r="D49" s="370" t="s">
        <v>266</v>
      </c>
      <c r="E49" s="257"/>
    </row>
  </sheetData>
  <sheetProtection sheet="1" objects="1" scenarios="1"/>
  <mergeCells count="5">
    <mergeCell ref="B36:F38"/>
    <mergeCell ref="B30:F31"/>
    <mergeCell ref="B28:D28"/>
    <mergeCell ref="B8:E8"/>
    <mergeCell ref="A5:F5"/>
  </mergeCells>
  <conditionalFormatting sqref="B35">
    <cfRule type="expression" dxfId="33" priority="141">
      <formula>NOT(ROUND($F$24,3)=ROUND($F$26,3))</formula>
    </cfRule>
  </conditionalFormatting>
  <conditionalFormatting sqref="B36">
    <cfRule type="expression" dxfId="32" priority="142">
      <formula>AND(NOT(ROUND($F$24,3)=ROUND($F$26,3)),B36="")</formula>
    </cfRule>
  </conditionalFormatting>
  <conditionalFormatting sqref="B28:D28">
    <cfRule type="expression" dxfId="31" priority="143">
      <formula>$F$27&gt;0</formula>
    </cfRule>
  </conditionalFormatting>
  <conditionalFormatting sqref="B32:F32">
    <cfRule type="expression" dxfId="30" priority="153">
      <formula>$B$32=$H$31</formula>
    </cfRule>
  </conditionalFormatting>
  <conditionalFormatting sqref="F2:F3">
    <cfRule type="cellIs" dxfId="29" priority="1" operator="equal">
      <formula>""</formula>
    </cfRule>
  </conditionalFormatting>
  <conditionalFormatting sqref="F9:F10 F12:F13 F16:F18 F20:F23">
    <cfRule type="expression" dxfId="28" priority="144">
      <formula>$F9=""</formula>
    </cfRule>
  </conditionalFormatting>
  <conditionalFormatting sqref="F26:F27">
    <cfRule type="expression" dxfId="27" priority="18">
      <formula>$F$26=""</formula>
    </cfRule>
  </conditionalFormatting>
  <conditionalFormatting sqref="F28">
    <cfRule type="expression" dxfId="26" priority="148">
      <formula>AND($F$27&gt;0,$F$28=$H$27)</formula>
    </cfRule>
    <cfRule type="expression" dxfId="25" priority="149">
      <formula>OR($F$28=$H$28,$F$28=$H$29)</formula>
    </cfRule>
  </conditionalFormatting>
  <dataValidations count="2">
    <dataValidation type="list" allowBlank="1" showInputMessage="1" showErrorMessage="1" sqref="F28" xr:uid="{00000000-0002-0000-1600-000000000000}">
      <formula1>$H$27:$H$29</formula1>
    </dataValidation>
    <dataValidation type="list" allowBlank="1" showInputMessage="1" showErrorMessage="1" sqref="B32" xr:uid="{00000000-0002-0000-1600-000001000000}">
      <formula1>$H$31:$H$32</formula1>
    </dataValidation>
  </dataValidations>
  <printOptions horizontalCentered="1"/>
  <pageMargins left="0.25" right="0.25" top="0.75" bottom="0.75" header="0.3" footer="0.3"/>
  <pageSetup fitToWidth="0" fitToHeight="0" orientation="portrait" r:id="rId1"/>
  <rowBreaks count="1" manualBreakCount="1">
    <brk id="33"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dimension ref="A1:H42"/>
  <sheetViews>
    <sheetView showGridLines="0" zoomScaleNormal="100" zoomScalePageLayoutView="85" workbookViewId="0"/>
  </sheetViews>
  <sheetFormatPr defaultColWidth="8.88671875" defaultRowHeight="19.2" x14ac:dyDescent="0.45"/>
  <cols>
    <col min="1" max="1" width="4" style="257" customWidth="1"/>
    <col min="2" max="3" width="8.88671875" style="257" customWidth="1"/>
    <col min="4" max="4" width="26.44140625" style="257" customWidth="1"/>
    <col min="5" max="5" width="14.109375" style="257" customWidth="1"/>
    <col min="6" max="6" width="8.88671875" style="257" customWidth="1"/>
    <col min="7" max="7" width="16" style="257" customWidth="1"/>
    <col min="8" max="16384" width="8.88671875" style="257"/>
  </cols>
  <sheetData>
    <row r="1" spans="1:7" x14ac:dyDescent="0.45">
      <c r="A1" s="1055" t="str">
        <f>'General Information'!$A$1</f>
        <v>Texas Department of Insurance</v>
      </c>
    </row>
    <row r="2" spans="1:7" x14ac:dyDescent="0.45">
      <c r="A2" s="1055" t="str">
        <f>'General Information'!$A$2</f>
        <v>Property and Casualty Rate Filing Exhibits</v>
      </c>
      <c r="F2" s="160" t="s">
        <v>97</v>
      </c>
      <c r="G2" s="1071" t="str">
        <f>'General Information'!$E$2</f>
        <v>Fill out Gen Info</v>
      </c>
    </row>
    <row r="3" spans="1:7" x14ac:dyDescent="0.45">
      <c r="A3" s="1055" t="str">
        <f>'General Information'!$A$3</f>
        <v>Rate Filing Template (2025 Edition)</v>
      </c>
      <c r="F3" s="160" t="s">
        <v>98</v>
      </c>
      <c r="G3" s="1071" t="str">
        <f>'General Information'!$E$3</f>
        <v>Fill out Gen Info</v>
      </c>
    </row>
    <row r="4" spans="1:7" x14ac:dyDescent="0.45">
      <c r="B4" s="374"/>
    </row>
    <row r="5" spans="1:7" x14ac:dyDescent="0.45">
      <c r="A5" s="1221" t="s">
        <v>625</v>
      </c>
      <c r="B5" s="1199"/>
      <c r="C5" s="1199"/>
      <c r="D5" s="1199"/>
      <c r="E5" s="1199"/>
      <c r="F5" s="1199"/>
      <c r="G5" s="1199"/>
    </row>
    <row r="7" spans="1:7" x14ac:dyDescent="0.45">
      <c r="F7" s="160"/>
      <c r="G7" s="289"/>
    </row>
    <row r="8" spans="1:7" x14ac:dyDescent="0.45">
      <c r="B8" s="724" t="s">
        <v>626</v>
      </c>
    </row>
    <row r="9" spans="1:7" x14ac:dyDescent="0.45">
      <c r="B9" s="370"/>
    </row>
    <row r="10" spans="1:7" x14ac:dyDescent="0.45">
      <c r="B10" s="1132" t="s">
        <v>627</v>
      </c>
      <c r="C10" s="1133"/>
      <c r="D10" s="1133"/>
      <c r="E10" s="1465"/>
      <c r="F10" s="1080" t="s">
        <v>583</v>
      </c>
    </row>
    <row r="11" spans="1:7" x14ac:dyDescent="0.45">
      <c r="A11" s="550">
        <f>-1</f>
        <v>-1</v>
      </c>
      <c r="B11" s="1466" t="s">
        <v>628</v>
      </c>
      <c r="C11" s="1467"/>
      <c r="D11" s="1467"/>
      <c r="E11" s="1468"/>
      <c r="F11" s="1075">
        <f>'13A-Profit'!F26*(1-'13A-Profit'!F23)</f>
        <v>0</v>
      </c>
    </row>
    <row r="12" spans="1:7" x14ac:dyDescent="0.45">
      <c r="A12" s="550">
        <f>A11-1</f>
        <v>-2</v>
      </c>
      <c r="B12" s="1458" t="s">
        <v>629</v>
      </c>
      <c r="C12" s="1459"/>
      <c r="D12" s="1459"/>
      <c r="E12" s="1460"/>
      <c r="F12" s="910">
        <f>'13A-Profit'!F27*(1-'13A-Profit'!F23)</f>
        <v>0</v>
      </c>
    </row>
    <row r="13" spans="1:7" x14ac:dyDescent="0.45">
      <c r="A13" s="550">
        <f>A12-1</f>
        <v>-3</v>
      </c>
      <c r="B13" s="1461" t="s">
        <v>630</v>
      </c>
      <c r="C13" s="1462"/>
      <c r="D13" s="1462"/>
      <c r="E13" s="1463"/>
      <c r="F13" s="907">
        <f>'13A-Profit'!F22*(1-'13A-Profit'!F23)</f>
        <v>0</v>
      </c>
    </row>
    <row r="14" spans="1:7" x14ac:dyDescent="0.45">
      <c r="A14" s="550">
        <f t="shared" ref="A14:A19" si="0">A13-1</f>
        <v>-4</v>
      </c>
      <c r="B14" s="1458" t="s">
        <v>631</v>
      </c>
      <c r="C14" s="1459"/>
      <c r="D14" s="1459"/>
      <c r="E14" s="1460"/>
      <c r="F14" s="910">
        <f>'13A-Profit'!F21*(1-'13A-Profit'!F13)</f>
        <v>0</v>
      </c>
    </row>
    <row r="15" spans="1:7" x14ac:dyDescent="0.45">
      <c r="A15" s="550">
        <f t="shared" si="0"/>
        <v>-5</v>
      </c>
      <c r="B15" s="1461" t="s">
        <v>632</v>
      </c>
      <c r="C15" s="1462"/>
      <c r="D15" s="1462"/>
      <c r="E15" s="1463"/>
      <c r="F15" s="907">
        <f>'13A-Profit'!F14</f>
        <v>0</v>
      </c>
      <c r="G15" s="897"/>
    </row>
    <row r="16" spans="1:7" x14ac:dyDescent="0.45">
      <c r="A16" s="550">
        <f t="shared" si="0"/>
        <v>-6</v>
      </c>
      <c r="B16" s="1458" t="s">
        <v>633</v>
      </c>
      <c r="C16" s="1459"/>
      <c r="D16" s="1459"/>
      <c r="E16" s="1460"/>
      <c r="F16" s="1076">
        <f>'13A-Profit'!F20</f>
        <v>0</v>
      </c>
      <c r="G16" s="897"/>
    </row>
    <row r="17" spans="1:8" x14ac:dyDescent="0.45">
      <c r="A17" s="550">
        <f t="shared" si="0"/>
        <v>-7</v>
      </c>
      <c r="B17" s="1461" t="s">
        <v>634</v>
      </c>
      <c r="C17" s="1462"/>
      <c r="D17" s="1462"/>
      <c r="E17" s="1463"/>
      <c r="F17" s="907">
        <f>((F11+F12+F13+F14)*F16)+F15</f>
        <v>0</v>
      </c>
      <c r="H17" s="1074"/>
    </row>
    <row r="18" spans="1:8" x14ac:dyDescent="0.45">
      <c r="A18" s="550">
        <f t="shared" si="0"/>
        <v>-8</v>
      </c>
      <c r="B18" s="1458" t="s">
        <v>599</v>
      </c>
      <c r="C18" s="1459"/>
      <c r="D18" s="1459"/>
      <c r="E18" s="1460"/>
      <c r="F18" s="1076">
        <f>'13A-Profit'!F10</f>
        <v>0</v>
      </c>
      <c r="H18" s="1074"/>
    </row>
    <row r="19" spans="1:8" x14ac:dyDescent="0.45">
      <c r="A19" s="550">
        <f t="shared" si="0"/>
        <v>-9</v>
      </c>
      <c r="B19" s="1464" t="s">
        <v>635</v>
      </c>
      <c r="C19" s="1126"/>
      <c r="D19" s="1126"/>
      <c r="E19" s="1127"/>
      <c r="F19" s="1077">
        <f>IFERROR(F17/F18,0)</f>
        <v>0</v>
      </c>
    </row>
    <row r="26" spans="1:8" x14ac:dyDescent="0.45">
      <c r="A26" s="274" t="s">
        <v>263</v>
      </c>
    </row>
    <row r="27" spans="1:8" x14ac:dyDescent="0.45">
      <c r="A27" s="307">
        <f>A11</f>
        <v>-1</v>
      </c>
      <c r="B27" s="257" t="s">
        <v>636</v>
      </c>
    </row>
    <row r="28" spans="1:8" x14ac:dyDescent="0.45">
      <c r="A28" s="307">
        <f>A27-1</f>
        <v>-2</v>
      </c>
      <c r="B28" s="257" t="s">
        <v>637</v>
      </c>
    </row>
    <row r="29" spans="1:8" x14ac:dyDescent="0.45">
      <c r="A29" s="307">
        <f t="shared" ref="A29:A35" si="1">A28-1</f>
        <v>-3</v>
      </c>
      <c r="B29" s="257" t="s">
        <v>638</v>
      </c>
    </row>
    <row r="30" spans="1:8" x14ac:dyDescent="0.45">
      <c r="A30" s="307">
        <f t="shared" si="1"/>
        <v>-4</v>
      </c>
      <c r="B30" s="257" t="s">
        <v>639</v>
      </c>
    </row>
    <row r="31" spans="1:8" x14ac:dyDescent="0.45">
      <c r="A31" s="307">
        <f t="shared" si="1"/>
        <v>-5</v>
      </c>
      <c r="B31" s="257" t="s">
        <v>640</v>
      </c>
    </row>
    <row r="32" spans="1:8" x14ac:dyDescent="0.45">
      <c r="A32" s="307">
        <f t="shared" si="1"/>
        <v>-6</v>
      </c>
      <c r="B32" s="257" t="s">
        <v>641</v>
      </c>
    </row>
    <row r="33" spans="1:2" x14ac:dyDescent="0.45">
      <c r="A33" s="307">
        <f t="shared" si="1"/>
        <v>-7</v>
      </c>
      <c r="B33" s="372" t="s">
        <v>642</v>
      </c>
    </row>
    <row r="34" spans="1:2" x14ac:dyDescent="0.45">
      <c r="A34" s="307">
        <f t="shared" si="1"/>
        <v>-8</v>
      </c>
      <c r="B34" s="257" t="s">
        <v>643</v>
      </c>
    </row>
    <row r="35" spans="1:2" x14ac:dyDescent="0.45">
      <c r="A35" s="307">
        <f t="shared" si="1"/>
        <v>-9</v>
      </c>
      <c r="B35" s="372" t="s">
        <v>644</v>
      </c>
    </row>
    <row r="36" spans="1:2" x14ac:dyDescent="0.45">
      <c r="A36" s="307"/>
      <c r="B36" s="370"/>
    </row>
    <row r="37" spans="1:2" x14ac:dyDescent="0.45">
      <c r="A37" s="307"/>
      <c r="B37" s="372"/>
    </row>
    <row r="38" spans="1:2" x14ac:dyDescent="0.45">
      <c r="A38" s="307"/>
      <c r="B38" s="370"/>
    </row>
    <row r="39" spans="1:2" x14ac:dyDescent="0.45">
      <c r="A39" s="307"/>
      <c r="B39" s="370"/>
    </row>
    <row r="40" spans="1:2" x14ac:dyDescent="0.45">
      <c r="A40" s="307"/>
      <c r="B40" s="370"/>
    </row>
    <row r="41" spans="1:2" x14ac:dyDescent="0.45">
      <c r="A41" s="307"/>
      <c r="B41" s="370"/>
    </row>
    <row r="42" spans="1:2" x14ac:dyDescent="0.45">
      <c r="A42" s="307"/>
      <c r="B42" s="372"/>
    </row>
  </sheetData>
  <sheetProtection sheet="1" objects="1" scenarios="1"/>
  <mergeCells count="11">
    <mergeCell ref="A5:G5"/>
    <mergeCell ref="B11:E11"/>
    <mergeCell ref="B12:E12"/>
    <mergeCell ref="B13:E13"/>
    <mergeCell ref="B14:E14"/>
    <mergeCell ref="B16:E16"/>
    <mergeCell ref="B17:E17"/>
    <mergeCell ref="B18:E18"/>
    <mergeCell ref="B19:E19"/>
    <mergeCell ref="B10:E10"/>
    <mergeCell ref="B15:E15"/>
  </mergeCells>
  <printOptions horizontalCentered="1"/>
  <pageMargins left="0.5" right="0.5" top="0.5" bottom="0.5" header="0.3" footer="0.3"/>
  <pageSetup fitToWidth="0"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F582-61EE-4863-9EE0-DCA964C75153}">
  <sheetPr codeName="Sheet29"/>
  <dimension ref="A1:H48"/>
  <sheetViews>
    <sheetView showGridLines="0" zoomScaleNormal="100" workbookViewId="0"/>
  </sheetViews>
  <sheetFormatPr defaultColWidth="8.88671875" defaultRowHeight="19.2" x14ac:dyDescent="0.45"/>
  <cols>
    <col min="1" max="1" width="5.6640625" style="863" customWidth="1"/>
    <col min="2" max="2" width="21.6640625" style="863" customWidth="1"/>
    <col min="3" max="3" width="24.6640625" style="863" customWidth="1"/>
    <col min="4" max="4" width="17.109375" style="863" bestFit="1" customWidth="1"/>
    <col min="5" max="5" width="5.33203125" style="863" customWidth="1"/>
    <col min="6" max="6" width="14.109375" style="863" customWidth="1"/>
    <col min="7" max="7" width="8.88671875" style="863"/>
    <col min="8" max="8" width="8.88671875" style="863" hidden="1" customWidth="1"/>
    <col min="9" max="16384" width="8.88671875" style="863"/>
  </cols>
  <sheetData>
    <row r="1" spans="1:8" x14ac:dyDescent="0.45">
      <c r="A1" s="1055" t="str">
        <f>'General Information'!$A$1</f>
        <v>Texas Department of Insurance</v>
      </c>
      <c r="B1" s="257"/>
      <c r="C1" s="257"/>
      <c r="D1" s="257"/>
      <c r="E1" s="257"/>
      <c r="F1" s="257"/>
      <c r="G1" s="257"/>
      <c r="H1" s="257"/>
    </row>
    <row r="2" spans="1:8" x14ac:dyDescent="0.45">
      <c r="A2" s="1055" t="str">
        <f>'General Information'!$A$2</f>
        <v>Property and Casualty Rate Filing Exhibits</v>
      </c>
      <c r="B2" s="257"/>
      <c r="C2" s="257"/>
      <c r="D2" s="160" t="s">
        <v>97</v>
      </c>
      <c r="E2" s="1071" t="str">
        <f>'General Information'!$E$2</f>
        <v>Fill out Gen Info</v>
      </c>
      <c r="F2" s="257"/>
      <c r="G2" s="257"/>
      <c r="H2" s="257"/>
    </row>
    <row r="3" spans="1:8" x14ac:dyDescent="0.45">
      <c r="A3" s="1055" t="str">
        <f>'General Information'!$A$3</f>
        <v>Rate Filing Template (2025 Edition)</v>
      </c>
      <c r="B3" s="257"/>
      <c r="C3" s="257"/>
      <c r="D3" s="160" t="s">
        <v>98</v>
      </c>
      <c r="E3" s="1071" t="str">
        <f>'General Information'!$E$3</f>
        <v>Fill out Gen Info</v>
      </c>
      <c r="F3" s="257"/>
      <c r="G3" s="257"/>
      <c r="H3" s="257"/>
    </row>
    <row r="5" spans="1:8" x14ac:dyDescent="0.45">
      <c r="A5" s="1132" t="s">
        <v>645</v>
      </c>
      <c r="B5" s="1133"/>
      <c r="C5" s="1133"/>
      <c r="D5" s="1133"/>
      <c r="E5" s="1133"/>
      <c r="F5" s="1133"/>
      <c r="G5" s="257"/>
      <c r="H5" s="257"/>
    </row>
    <row r="6" spans="1:8" x14ac:dyDescent="0.45">
      <c r="A6" s="257"/>
      <c r="B6" s="257"/>
      <c r="C6" s="257"/>
      <c r="D6" s="257"/>
      <c r="E6" s="257"/>
      <c r="F6" s="257"/>
      <c r="G6" s="257"/>
      <c r="H6" s="257"/>
    </row>
    <row r="7" spans="1:8" x14ac:dyDescent="0.45">
      <c r="A7" s="257"/>
      <c r="B7" s="1470" t="s">
        <v>211</v>
      </c>
      <c r="C7" s="1470"/>
      <c r="D7" s="1080" t="s">
        <v>646</v>
      </c>
      <c r="E7" s="257"/>
      <c r="F7" s="257"/>
      <c r="G7" s="257"/>
      <c r="H7" s="257"/>
    </row>
    <row r="8" spans="1:8" x14ac:dyDescent="0.45">
      <c r="A8" s="307">
        <v>-1</v>
      </c>
      <c r="B8" s="1443" t="s">
        <v>647</v>
      </c>
      <c r="C8" s="1443"/>
      <c r="D8" s="753"/>
      <c r="E8" s="257"/>
      <c r="F8" s="257"/>
      <c r="G8" s="257"/>
      <c r="H8" s="257"/>
    </row>
    <row r="9" spans="1:8" x14ac:dyDescent="0.45">
      <c r="A9" s="307">
        <f>A8-1</f>
        <v>-2</v>
      </c>
      <c r="B9" s="1471" t="s">
        <v>648</v>
      </c>
      <c r="C9" s="1471"/>
      <c r="D9" s="1038" t="s">
        <v>649</v>
      </c>
      <c r="E9" s="257"/>
      <c r="F9" s="257"/>
      <c r="G9" s="257"/>
      <c r="H9" s="257"/>
    </row>
    <row r="10" spans="1:8" x14ac:dyDescent="0.45">
      <c r="A10" s="307">
        <f t="shared" ref="A10:A14" si="0">A9-1</f>
        <v>-3</v>
      </c>
      <c r="B10" s="1469" t="str">
        <f>IF(D9="Square root rule", "Standard for Full Credibility", IF(D9="N/(N+K)", "Bühlmann's K", IF(D9="Other", "Credibility", "       (Select formula)")))</f>
        <v>Standard for Full Credibility</v>
      </c>
      <c r="C10" s="1469"/>
      <c r="D10" s="1039"/>
      <c r="E10" s="257"/>
      <c r="F10" s="257"/>
      <c r="G10" s="257"/>
      <c r="H10" s="257"/>
    </row>
    <row r="11" spans="1:8" x14ac:dyDescent="0.45">
      <c r="A11" s="307">
        <f t="shared" si="0"/>
        <v>-4</v>
      </c>
      <c r="B11" s="1471" t="s">
        <v>298</v>
      </c>
      <c r="C11" s="1471"/>
      <c r="D11" s="1040">
        <f>IFERROR( IF(D9="Square root rule", MIN(SQRT(D8/D10), 1),IF(D9="N/(N+K)", D8/(D8+D10), IF(D9="Other", "", 1))),1)</f>
        <v>1</v>
      </c>
      <c r="E11" s="257"/>
      <c r="F11" s="257"/>
      <c r="G11" s="257"/>
      <c r="H11" s="257"/>
    </row>
    <row r="12" spans="1:8" x14ac:dyDescent="0.45">
      <c r="A12" s="307">
        <f t="shared" si="0"/>
        <v>-5</v>
      </c>
      <c r="B12" s="1469" t="s">
        <v>650</v>
      </c>
      <c r="C12" s="1469"/>
      <c r="D12" s="825">
        <f>'5D-Loss Ratio Trend'!D23</f>
        <v>0</v>
      </c>
      <c r="E12" s="257"/>
      <c r="F12" s="257"/>
      <c r="G12" s="257"/>
      <c r="H12" s="257"/>
    </row>
    <row r="13" spans="1:8" x14ac:dyDescent="0.45">
      <c r="A13" s="307">
        <f t="shared" si="0"/>
        <v>-6</v>
      </c>
      <c r="B13" s="1471" t="s">
        <v>651</v>
      </c>
      <c r="C13" s="1471"/>
      <c r="D13" s="1041">
        <f>YEARFRAC('General Information'!B25,'General Information'!B27,0)</f>
        <v>0</v>
      </c>
      <c r="E13" s="257"/>
      <c r="F13" s="257"/>
      <c r="G13" s="257"/>
      <c r="H13" s="257"/>
    </row>
    <row r="14" spans="1:8" x14ac:dyDescent="0.45">
      <c r="A14" s="307">
        <f t="shared" si="0"/>
        <v>-7</v>
      </c>
      <c r="B14" s="1478" t="s">
        <v>299</v>
      </c>
      <c r="C14" s="1478"/>
      <c r="D14" s="1042">
        <f>IFERROR((1+D12)^D13-1, 0)</f>
        <v>0</v>
      </c>
      <c r="E14" s="257"/>
      <c r="F14" s="257"/>
      <c r="G14" s="257"/>
      <c r="H14" s="257"/>
    </row>
    <row r="15" spans="1:8" x14ac:dyDescent="0.45">
      <c r="A15" s="307">
        <f>A14-1</f>
        <v>-8</v>
      </c>
      <c r="B15" s="1471" t="s">
        <v>652</v>
      </c>
      <c r="C15" s="1471"/>
      <c r="D15" s="1043"/>
      <c r="E15" s="257"/>
      <c r="F15" s="257"/>
      <c r="G15" s="257"/>
      <c r="H15" s="257"/>
    </row>
    <row r="16" spans="1:8" x14ac:dyDescent="0.45">
      <c r="A16" s="257"/>
      <c r="B16" s="1081"/>
      <c r="C16" s="1081"/>
      <c r="D16" s="257"/>
      <c r="E16" s="257"/>
      <c r="F16" s="257"/>
      <c r="G16" s="257"/>
      <c r="H16" s="257"/>
    </row>
    <row r="17" spans="1:8" x14ac:dyDescent="0.45">
      <c r="A17" s="307">
        <f>A15-1</f>
        <v>-9</v>
      </c>
      <c r="B17" s="1298" t="s">
        <v>653</v>
      </c>
      <c r="C17" s="1298"/>
      <c r="D17" s="1298"/>
      <c r="E17" s="1298"/>
      <c r="F17" s="1298"/>
      <c r="G17" s="257"/>
      <c r="H17" s="257"/>
    </row>
    <row r="18" spans="1:8" x14ac:dyDescent="0.45">
      <c r="A18" s="307"/>
      <c r="B18" s="1298"/>
      <c r="C18" s="1298"/>
      <c r="D18" s="1298"/>
      <c r="E18" s="1298"/>
      <c r="F18" s="1298"/>
      <c r="G18" s="257"/>
      <c r="H18" s="257"/>
    </row>
    <row r="19" spans="1:8" x14ac:dyDescent="0.45">
      <c r="A19" s="1044"/>
      <c r="B19" s="1251"/>
      <c r="C19" s="1251"/>
      <c r="D19" s="1251"/>
      <c r="E19" s="1251"/>
      <c r="F19" s="1251"/>
      <c r="G19" s="257"/>
      <c r="H19" s="257"/>
    </row>
    <row r="20" spans="1:8" x14ac:dyDescent="0.45">
      <c r="A20" s="1044"/>
      <c r="B20" s="1251"/>
      <c r="C20" s="1251"/>
      <c r="D20" s="1251"/>
      <c r="E20" s="1251"/>
      <c r="F20" s="1251"/>
      <c r="G20" s="257"/>
      <c r="H20" s="257"/>
    </row>
    <row r="21" spans="1:8" x14ac:dyDescent="0.45">
      <c r="A21" s="1044"/>
      <c r="B21" s="1251"/>
      <c r="C21" s="1251"/>
      <c r="D21" s="1251"/>
      <c r="E21" s="1251"/>
      <c r="F21" s="1251"/>
      <c r="G21" s="257"/>
      <c r="H21" s="257"/>
    </row>
    <row r="22" spans="1:8" x14ac:dyDescent="0.45">
      <c r="A22" s="766"/>
      <c r="B22" s="766"/>
      <c r="C22" s="766"/>
      <c r="D22" s="766"/>
      <c r="E22" s="766"/>
      <c r="F22" s="766"/>
      <c r="G22" s="257"/>
      <c r="H22" s="257"/>
    </row>
    <row r="23" spans="1:8" x14ac:dyDescent="0.45">
      <c r="A23" s="839">
        <f>A17-1</f>
        <v>-10</v>
      </c>
      <c r="B23" s="1045" t="s">
        <v>654</v>
      </c>
      <c r="C23" s="765"/>
      <c r="D23" s="765"/>
      <c r="E23" s="765"/>
      <c r="F23" s="1046"/>
      <c r="G23" s="257"/>
      <c r="H23" s="257"/>
    </row>
    <row r="24" spans="1:8" x14ac:dyDescent="0.45">
      <c r="A24" s="1044"/>
      <c r="B24" s="1251"/>
      <c r="C24" s="1251"/>
      <c r="D24" s="1251"/>
      <c r="E24" s="1251"/>
      <c r="F24" s="1251"/>
      <c r="G24" s="257"/>
      <c r="H24" s="257"/>
    </row>
    <row r="25" spans="1:8" x14ac:dyDescent="0.45">
      <c r="A25" s="1044"/>
      <c r="B25" s="1251"/>
      <c r="C25" s="1251"/>
      <c r="D25" s="1251"/>
      <c r="E25" s="1251"/>
      <c r="F25" s="1251"/>
      <c r="G25" s="257"/>
      <c r="H25" s="257"/>
    </row>
    <row r="26" spans="1:8" x14ac:dyDescent="0.45">
      <c r="A26" s="1044"/>
      <c r="B26" s="1251"/>
      <c r="C26" s="1251"/>
      <c r="D26" s="1251"/>
      <c r="E26" s="1251"/>
      <c r="F26" s="1251"/>
      <c r="G26" s="257"/>
      <c r="H26" s="257" t="s">
        <v>35</v>
      </c>
    </row>
    <row r="27" spans="1:8" x14ac:dyDescent="0.45">
      <c r="A27" s="766"/>
      <c r="B27" s="766"/>
      <c r="C27" s="766"/>
      <c r="D27" s="766"/>
      <c r="E27" s="766"/>
      <c r="F27" s="766"/>
      <c r="G27" s="257"/>
      <c r="H27" s="257" t="s">
        <v>649</v>
      </c>
    </row>
    <row r="28" spans="1:8" x14ac:dyDescent="0.45">
      <c r="A28" s="839">
        <f>A23-1</f>
        <v>-11</v>
      </c>
      <c r="B28" s="1254" t="s">
        <v>655</v>
      </c>
      <c r="C28" s="1255"/>
      <c r="D28" s="1255"/>
      <c r="E28" s="1255"/>
      <c r="F28" s="1256"/>
      <c r="G28" s="257"/>
      <c r="H28" s="257" t="s">
        <v>656</v>
      </c>
    </row>
    <row r="29" spans="1:8" x14ac:dyDescent="0.45">
      <c r="A29" s="839"/>
      <c r="B29" s="1479"/>
      <c r="C29" s="1480"/>
      <c r="D29" s="1480"/>
      <c r="E29" s="1480"/>
      <c r="F29" s="1481"/>
      <c r="G29" s="257"/>
      <c r="H29" s="257" t="s">
        <v>13</v>
      </c>
    </row>
    <row r="30" spans="1:8" x14ac:dyDescent="0.45">
      <c r="A30" s="257"/>
      <c r="B30" s="1472"/>
      <c r="C30" s="1473"/>
      <c r="D30" s="1473"/>
      <c r="E30" s="1473"/>
      <c r="F30" s="1474"/>
      <c r="G30" s="257"/>
      <c r="H30" s="1103"/>
    </row>
    <row r="31" spans="1:8" x14ac:dyDescent="0.45">
      <c r="A31" s="371"/>
      <c r="B31" s="1180"/>
      <c r="C31" s="1181"/>
      <c r="D31" s="1181"/>
      <c r="E31" s="1181"/>
      <c r="F31" s="1182"/>
      <c r="G31" s="257"/>
      <c r="H31" s="257"/>
    </row>
    <row r="32" spans="1:8" x14ac:dyDescent="0.45">
      <c r="A32" s="371"/>
      <c r="B32" s="1183"/>
      <c r="C32" s="1184"/>
      <c r="D32" s="1184"/>
      <c r="E32" s="1184"/>
      <c r="F32" s="1185"/>
      <c r="G32" s="257"/>
      <c r="H32" s="257"/>
    </row>
    <row r="33" spans="1:6" x14ac:dyDescent="0.45">
      <c r="A33" s="371"/>
      <c r="B33" s="766"/>
      <c r="C33" s="766"/>
      <c r="D33" s="766"/>
      <c r="E33" s="766"/>
      <c r="F33" s="766"/>
    </row>
    <row r="34" spans="1:6" x14ac:dyDescent="0.45">
      <c r="A34" s="1047">
        <f>A28-1</f>
        <v>-12</v>
      </c>
      <c r="B34" s="1330" t="s">
        <v>657</v>
      </c>
      <c r="C34" s="1331"/>
      <c r="D34" s="1331"/>
      <c r="E34" s="1331"/>
      <c r="F34" s="1332"/>
    </row>
    <row r="35" spans="1:6" x14ac:dyDescent="0.45">
      <c r="A35" s="257"/>
      <c r="B35" s="1475"/>
      <c r="C35" s="1476"/>
      <c r="D35" s="1476"/>
      <c r="E35" s="1476"/>
      <c r="F35" s="1477"/>
    </row>
    <row r="36" spans="1:6" x14ac:dyDescent="0.45">
      <c r="A36" s="1085"/>
      <c r="B36" s="1180"/>
      <c r="C36" s="1181"/>
      <c r="D36" s="1181"/>
      <c r="E36" s="1181"/>
      <c r="F36" s="1182"/>
    </row>
    <row r="37" spans="1:6" x14ac:dyDescent="0.45">
      <c r="A37" s="1044"/>
      <c r="B37" s="1180"/>
      <c r="C37" s="1181"/>
      <c r="D37" s="1181"/>
      <c r="E37" s="1181"/>
      <c r="F37" s="1182"/>
    </row>
    <row r="38" spans="1:6" x14ac:dyDescent="0.45">
      <c r="A38" s="1044"/>
      <c r="B38" s="1180"/>
      <c r="C38" s="1184"/>
      <c r="D38" s="1184"/>
      <c r="E38" s="1184"/>
      <c r="F38" s="1185"/>
    </row>
    <row r="39" spans="1:6" x14ac:dyDescent="0.45">
      <c r="A39" s="371"/>
      <c r="B39" s="1104"/>
      <c r="C39" s="257"/>
      <c r="D39" s="257"/>
      <c r="E39" s="257"/>
      <c r="F39" s="257"/>
    </row>
    <row r="40" spans="1:6" x14ac:dyDescent="0.45">
      <c r="A40" s="274" t="s">
        <v>263</v>
      </c>
      <c r="B40" s="257"/>
      <c r="C40" s="257"/>
      <c r="D40" s="257"/>
      <c r="E40" s="257"/>
      <c r="F40" s="257"/>
    </row>
    <row r="41" spans="1:6" x14ac:dyDescent="0.45">
      <c r="A41" s="307">
        <f t="shared" ref="A41:A48" si="1">A8</f>
        <v>-1</v>
      </c>
      <c r="B41" s="370" t="s">
        <v>266</v>
      </c>
      <c r="C41" s="257"/>
      <c r="D41" s="257"/>
      <c r="E41" s="257"/>
      <c r="F41" s="257"/>
    </row>
    <row r="42" spans="1:6" x14ac:dyDescent="0.45">
      <c r="A42" s="307">
        <f t="shared" si="1"/>
        <v>-2</v>
      </c>
      <c r="B42" s="370" t="s">
        <v>266</v>
      </c>
      <c r="C42" s="257"/>
      <c r="D42" s="257"/>
      <c r="E42" s="257"/>
      <c r="F42" s="257"/>
    </row>
    <row r="43" spans="1:6" x14ac:dyDescent="0.45">
      <c r="A43" s="307">
        <f t="shared" si="1"/>
        <v>-3</v>
      </c>
      <c r="B43" s="370" t="s">
        <v>266</v>
      </c>
      <c r="C43" s="257"/>
      <c r="D43" s="257"/>
      <c r="E43" s="257"/>
      <c r="F43" s="257"/>
    </row>
    <row r="44" spans="1:6" x14ac:dyDescent="0.45">
      <c r="A44" s="307">
        <f t="shared" si="1"/>
        <v>-4</v>
      </c>
      <c r="B44" s="370" t="s">
        <v>266</v>
      </c>
      <c r="C44" s="257"/>
      <c r="D44" s="257"/>
      <c r="E44" s="257"/>
      <c r="F44" s="257"/>
    </row>
    <row r="45" spans="1:6" x14ac:dyDescent="0.45">
      <c r="A45" s="307">
        <f t="shared" si="1"/>
        <v>-5</v>
      </c>
      <c r="B45" s="257" t="s">
        <v>658</v>
      </c>
      <c r="C45" s="257"/>
      <c r="D45" s="257"/>
      <c r="E45" s="257"/>
      <c r="F45" s="257"/>
    </row>
    <row r="46" spans="1:6" x14ac:dyDescent="0.45">
      <c r="A46" s="307">
        <f t="shared" si="1"/>
        <v>-6</v>
      </c>
      <c r="B46" s="257" t="s">
        <v>659</v>
      </c>
      <c r="C46" s="257"/>
      <c r="D46" s="257"/>
      <c r="E46" s="257"/>
      <c r="F46" s="257"/>
    </row>
    <row r="47" spans="1:6" ht="19.8" x14ac:dyDescent="0.45">
      <c r="A47" s="307">
        <f t="shared" si="1"/>
        <v>-7</v>
      </c>
      <c r="B47" s="372" t="s">
        <v>660</v>
      </c>
      <c r="C47" s="257"/>
      <c r="D47" s="257"/>
      <c r="E47" s="257"/>
      <c r="F47" s="257"/>
    </row>
    <row r="48" spans="1:6" x14ac:dyDescent="0.45">
      <c r="A48" s="307">
        <f t="shared" si="1"/>
        <v>-8</v>
      </c>
      <c r="B48" s="370" t="s">
        <v>661</v>
      </c>
      <c r="C48" s="257"/>
      <c r="D48" s="257"/>
      <c r="E48" s="257"/>
      <c r="F48" s="257"/>
    </row>
  </sheetData>
  <sheetProtection sheet="1" objects="1" scenarios="1"/>
  <mergeCells count="17">
    <mergeCell ref="B30:F32"/>
    <mergeCell ref="B34:F35"/>
    <mergeCell ref="B36:F38"/>
    <mergeCell ref="B13:C13"/>
    <mergeCell ref="B14:C14"/>
    <mergeCell ref="B15:C15"/>
    <mergeCell ref="B17:F18"/>
    <mergeCell ref="B19:F21"/>
    <mergeCell ref="B24:F26"/>
    <mergeCell ref="B28:F29"/>
    <mergeCell ref="A5:F5"/>
    <mergeCell ref="B12:C12"/>
    <mergeCell ref="B7:C7"/>
    <mergeCell ref="B8:C8"/>
    <mergeCell ref="B9:C9"/>
    <mergeCell ref="B10:C10"/>
    <mergeCell ref="B11:C11"/>
  </mergeCells>
  <conditionalFormatting sqref="B19 B24">
    <cfRule type="expression" dxfId="24" priority="10" stopIfTrue="1">
      <formula>B19=""</formula>
    </cfRule>
  </conditionalFormatting>
  <conditionalFormatting sqref="B30">
    <cfRule type="expression" dxfId="23" priority="12">
      <formula>AND($D$9="Other",$B$30="")</formula>
    </cfRule>
  </conditionalFormatting>
  <conditionalFormatting sqref="B36">
    <cfRule type="expression" dxfId="22" priority="9">
      <formula>AND(NOT($D$14=""),$B$36="")</formula>
    </cfRule>
  </conditionalFormatting>
  <conditionalFormatting sqref="B11:D11">
    <cfRule type="expression" dxfId="21" priority="4">
      <formula>$D$9="Other"</formula>
    </cfRule>
  </conditionalFormatting>
  <conditionalFormatting sqref="B34:F35">
    <cfRule type="expression" dxfId="20" priority="8">
      <formula>NOT($D$14="")</formula>
    </cfRule>
  </conditionalFormatting>
  <conditionalFormatting sqref="D8 D10">
    <cfRule type="expression" dxfId="19" priority="11">
      <formula>$D8=""</formula>
    </cfRule>
  </conditionalFormatting>
  <conditionalFormatting sqref="D9">
    <cfRule type="expression" dxfId="18" priority="162">
      <formula>$D$9=$H$26</formula>
    </cfRule>
  </conditionalFormatting>
  <conditionalFormatting sqref="D10">
    <cfRule type="expression" dxfId="17" priority="1">
      <formula>$D$9="Other"</formula>
    </cfRule>
    <cfRule type="expression" dxfId="16" priority="2">
      <formula>$D$9="N/(N+K)"</formula>
    </cfRule>
    <cfRule type="expression" dxfId="15" priority="3">
      <formula>$D$9="Square root rule"</formula>
    </cfRule>
  </conditionalFormatting>
  <conditionalFormatting sqref="D14">
    <cfRule type="expression" dxfId="14" priority="7">
      <formula>$D14=""</formula>
    </cfRule>
  </conditionalFormatting>
  <conditionalFormatting sqref="D15">
    <cfRule type="expression" dxfId="13" priority="6">
      <formula>$D$15=""</formula>
    </cfRule>
  </conditionalFormatting>
  <dataValidations disablePrompts="1" count="1">
    <dataValidation type="list" allowBlank="1" showInputMessage="1" showErrorMessage="1" sqref="D9" xr:uid="{7DA6EAF9-1EDC-4125-83F7-B8C946CF75EF}">
      <formula1>$H$26:$H$29</formula1>
    </dataValidation>
  </dataValidations>
  <printOptions horizontalCentered="1"/>
  <pageMargins left="0.5" right="0.5" top="0.5" bottom="0.5" header="0.3" footer="0.3"/>
  <pageSetup fitToWidth="0" fitToHeight="0" orientation="portrait" r:id="rId1"/>
  <rowBreaks count="1" manualBreakCount="1">
    <brk id="3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68A0A-73A0-4E65-8CB7-35797AEEA657}">
  <sheetPr codeName="Sheet14"/>
  <dimension ref="A1:L52"/>
  <sheetViews>
    <sheetView showGridLines="0" zoomScaleNormal="100" zoomScaleSheetLayoutView="85" workbookViewId="0">
      <selection activeCell="F3" sqref="F3:H3"/>
    </sheetView>
  </sheetViews>
  <sheetFormatPr defaultColWidth="9.109375" defaultRowHeight="17.25" customHeight="1" x14ac:dyDescent="0.45"/>
  <cols>
    <col min="1" max="3" width="9.109375" style="257"/>
    <col min="4" max="4" width="23.44140625" style="257" customWidth="1"/>
    <col min="5" max="5" width="27" style="257" customWidth="1"/>
    <col min="6" max="6" width="9" style="257" customWidth="1"/>
    <col min="7" max="7" width="4.5546875" style="257" customWidth="1"/>
    <col min="8" max="8" width="4.88671875" style="257" customWidth="1"/>
    <col min="9" max="16384" width="9.109375" style="257"/>
  </cols>
  <sheetData>
    <row r="1" spans="1:12" s="172" customFormat="1" ht="19.2" x14ac:dyDescent="0.45">
      <c r="A1" s="230" t="str">
        <f>'General Information'!A1</f>
        <v>Texas Department of Insurance</v>
      </c>
      <c r="B1" s="158"/>
      <c r="G1" s="158"/>
      <c r="H1" s="250"/>
      <c r="I1" s="251"/>
      <c r="J1" s="252"/>
      <c r="K1" s="173"/>
      <c r="L1" s="173"/>
    </row>
    <row r="2" spans="1:12" s="172" customFormat="1" ht="19.2" x14ac:dyDescent="0.45">
      <c r="A2" s="230" t="str">
        <f>'General Information'!A2</f>
        <v>Property and Casualty Rate Filing Exhibits</v>
      </c>
      <c r="B2" s="158"/>
      <c r="E2" s="160" t="s">
        <v>97</v>
      </c>
      <c r="F2" s="1125" t="str">
        <f>'General Information'!E2</f>
        <v>Fill out Gen Info</v>
      </c>
      <c r="G2" s="1125"/>
      <c r="H2" s="1125"/>
      <c r="I2" s="251"/>
      <c r="J2" s="252"/>
      <c r="K2" s="173"/>
      <c r="L2" s="173"/>
    </row>
    <row r="3" spans="1:12" s="172" customFormat="1" ht="19.2" x14ac:dyDescent="0.45">
      <c r="A3" s="227" t="s">
        <v>970</v>
      </c>
      <c r="B3" s="158"/>
      <c r="E3" s="160" t="s">
        <v>98</v>
      </c>
      <c r="F3" s="1125" t="str">
        <f>'General Information'!E3</f>
        <v>Fill out Gen Info</v>
      </c>
      <c r="G3" s="1125"/>
      <c r="H3" s="1125"/>
      <c r="I3" s="251"/>
      <c r="J3" s="252"/>
      <c r="K3" s="173"/>
      <c r="L3" s="173"/>
    </row>
    <row r="4" spans="1:12" s="172" customFormat="1" ht="19.2" x14ac:dyDescent="0.45">
      <c r="A4" s="249"/>
      <c r="B4" s="158"/>
      <c r="G4" s="158"/>
      <c r="H4" s="250"/>
      <c r="I4" s="251"/>
      <c r="J4" s="252"/>
      <c r="K4" s="173"/>
      <c r="L4" s="173"/>
    </row>
    <row r="5" spans="1:12" s="172" customFormat="1" ht="19.2" x14ac:dyDescent="0.45">
      <c r="A5" s="253" t="s">
        <v>99</v>
      </c>
      <c r="B5" s="253"/>
      <c r="C5" s="253"/>
      <c r="D5" s="253"/>
      <c r="E5" s="1053"/>
      <c r="F5" s="1053"/>
      <c r="G5" s="1053"/>
      <c r="H5" s="1053"/>
      <c r="I5" s="251"/>
      <c r="J5" s="252"/>
      <c r="K5" s="174"/>
      <c r="L5" s="174"/>
    </row>
    <row r="6" spans="1:12" s="172" customFormat="1" ht="19.2" x14ac:dyDescent="0.45">
      <c r="A6" s="228"/>
      <c r="B6" s="228"/>
      <c r="C6" s="228"/>
      <c r="D6" s="228"/>
      <c r="E6" s="228"/>
      <c r="F6" s="228"/>
      <c r="G6" s="229"/>
      <c r="H6" s="250"/>
      <c r="I6" s="251"/>
      <c r="J6" s="252"/>
      <c r="K6" s="174"/>
      <c r="L6" s="174"/>
    </row>
    <row r="7" spans="1:12" ht="19.2" x14ac:dyDescent="0.45">
      <c r="A7" s="253" t="s">
        <v>100</v>
      </c>
      <c r="B7" s="254"/>
      <c r="C7" s="254"/>
      <c r="D7" s="254"/>
      <c r="E7" s="254"/>
      <c r="F7" s="254"/>
      <c r="G7" s="255"/>
      <c r="H7" s="256"/>
    </row>
    <row r="8" spans="1:12" ht="57.6" customHeight="1" x14ac:dyDescent="0.45">
      <c r="A8" s="1120" t="s">
        <v>101</v>
      </c>
      <c r="B8" s="1120"/>
      <c r="C8" s="1120"/>
      <c r="D8" s="1120"/>
      <c r="E8" s="1120"/>
      <c r="F8" s="1120"/>
      <c r="G8" s="1120"/>
      <c r="H8" s="1121"/>
    </row>
    <row r="9" spans="1:12" ht="19.2" x14ac:dyDescent="0.45">
      <c r="A9" s="258">
        <v>-1</v>
      </c>
      <c r="B9" s="1114" t="s">
        <v>102</v>
      </c>
      <c r="C9" s="1115"/>
      <c r="D9" s="1115"/>
      <c r="E9" s="1115"/>
      <c r="F9" s="1115"/>
      <c r="G9" s="1116"/>
      <c r="H9" s="259"/>
    </row>
    <row r="10" spans="1:12" ht="19.2" x14ac:dyDescent="0.45">
      <c r="A10" s="258">
        <f t="shared" ref="A10:A31" si="0">A9-1</f>
        <v>-2</v>
      </c>
      <c r="B10" s="1114" t="s">
        <v>103</v>
      </c>
      <c r="C10" s="1115"/>
      <c r="D10" s="1115"/>
      <c r="E10" s="1115"/>
      <c r="F10" s="1115"/>
      <c r="G10" s="1116"/>
      <c r="H10" s="259"/>
    </row>
    <row r="11" spans="1:12" ht="19.2" x14ac:dyDescent="0.45">
      <c r="A11" s="258">
        <f t="shared" si="0"/>
        <v>-3</v>
      </c>
      <c r="B11" s="1114" t="s">
        <v>104</v>
      </c>
      <c r="C11" s="1115"/>
      <c r="D11" s="1115"/>
      <c r="E11" s="1115"/>
      <c r="F11" s="1115"/>
      <c r="G11" s="1116"/>
      <c r="H11" s="259"/>
    </row>
    <row r="12" spans="1:12" ht="19.2" x14ac:dyDescent="0.45">
      <c r="A12" s="258">
        <f t="shared" si="0"/>
        <v>-4</v>
      </c>
      <c r="B12" s="1114" t="s">
        <v>105</v>
      </c>
      <c r="C12" s="1115"/>
      <c r="D12" s="1115"/>
      <c r="E12" s="1115"/>
      <c r="F12" s="1115"/>
      <c r="G12" s="1116"/>
      <c r="H12" s="259"/>
    </row>
    <row r="13" spans="1:12" ht="19.2" x14ac:dyDescent="0.45">
      <c r="A13" s="258">
        <f t="shared" si="0"/>
        <v>-5</v>
      </c>
      <c r="B13" s="1114" t="s">
        <v>106</v>
      </c>
      <c r="C13" s="1115"/>
      <c r="D13" s="1115"/>
      <c r="E13" s="1115"/>
      <c r="F13" s="1115"/>
      <c r="G13" s="1116"/>
      <c r="H13" s="259"/>
    </row>
    <row r="14" spans="1:12" ht="19.2" x14ac:dyDescent="0.45">
      <c r="A14" s="258">
        <f t="shared" si="0"/>
        <v>-6</v>
      </c>
      <c r="B14" s="1114" t="s">
        <v>107</v>
      </c>
      <c r="C14" s="1115"/>
      <c r="D14" s="1115"/>
      <c r="E14" s="1115"/>
      <c r="F14" s="1115"/>
      <c r="G14" s="1116"/>
      <c r="H14" s="259"/>
    </row>
    <row r="15" spans="1:12" ht="19.2" x14ac:dyDescent="0.45">
      <c r="A15" s="258">
        <f t="shared" si="0"/>
        <v>-7</v>
      </c>
      <c r="B15" s="260" t="s">
        <v>108</v>
      </c>
      <c r="C15" s="1078"/>
      <c r="D15" s="1078"/>
      <c r="E15" s="1078"/>
      <c r="F15" s="1078"/>
      <c r="G15" s="1079"/>
      <c r="H15" s="259"/>
    </row>
    <row r="16" spans="1:12" ht="19.2" x14ac:dyDescent="0.45">
      <c r="A16" s="258">
        <f t="shared" si="0"/>
        <v>-8</v>
      </c>
      <c r="B16" s="1114" t="s">
        <v>109</v>
      </c>
      <c r="C16" s="1115"/>
      <c r="D16" s="1115"/>
      <c r="E16" s="1115"/>
      <c r="F16" s="1115"/>
      <c r="G16" s="1116"/>
      <c r="H16" s="259"/>
    </row>
    <row r="17" spans="1:8" ht="19.2" x14ac:dyDescent="0.45">
      <c r="A17" s="258">
        <f t="shared" si="0"/>
        <v>-9</v>
      </c>
      <c r="B17" s="1114" t="s">
        <v>110</v>
      </c>
      <c r="C17" s="1115"/>
      <c r="D17" s="1115"/>
      <c r="E17" s="1115"/>
      <c r="F17" s="1115"/>
      <c r="G17" s="1116"/>
      <c r="H17" s="261"/>
    </row>
    <row r="18" spans="1:8" ht="19.2" x14ac:dyDescent="0.45">
      <c r="A18" s="258">
        <f t="shared" si="0"/>
        <v>-10</v>
      </c>
      <c r="B18" s="1078"/>
      <c r="C18" s="1114" t="s">
        <v>111</v>
      </c>
      <c r="D18" s="1115"/>
      <c r="E18" s="1115"/>
      <c r="F18" s="1115"/>
      <c r="G18" s="1116"/>
      <c r="H18" s="259"/>
    </row>
    <row r="19" spans="1:8" ht="19.2" x14ac:dyDescent="0.45">
      <c r="A19" s="258">
        <f t="shared" si="0"/>
        <v>-11</v>
      </c>
      <c r="B19" s="1078"/>
      <c r="C19" s="1114" t="s">
        <v>112</v>
      </c>
      <c r="D19" s="1115"/>
      <c r="E19" s="1115"/>
      <c r="F19" s="1115"/>
      <c r="G19" s="1116"/>
      <c r="H19" s="259"/>
    </row>
    <row r="20" spans="1:8" ht="19.2" x14ac:dyDescent="0.45">
      <c r="A20" s="258">
        <f t="shared" si="0"/>
        <v>-12</v>
      </c>
      <c r="B20" s="1078"/>
      <c r="C20" s="1114" t="s">
        <v>113</v>
      </c>
      <c r="D20" s="1115"/>
      <c r="E20" s="1115"/>
      <c r="F20" s="1115"/>
      <c r="G20" s="1116"/>
      <c r="H20" s="259"/>
    </row>
    <row r="21" spans="1:8" ht="38.4" customHeight="1" x14ac:dyDescent="0.45">
      <c r="A21" s="258">
        <f t="shared" si="0"/>
        <v>-13</v>
      </c>
      <c r="B21" s="1114" t="s">
        <v>114</v>
      </c>
      <c r="C21" s="1115"/>
      <c r="D21" s="1115"/>
      <c r="E21" s="1115"/>
      <c r="F21" s="1115"/>
      <c r="G21" s="1116"/>
      <c r="H21" s="259"/>
    </row>
    <row r="22" spans="1:8" ht="19.2" x14ac:dyDescent="0.45">
      <c r="A22" s="258">
        <f t="shared" si="0"/>
        <v>-14</v>
      </c>
      <c r="B22" s="1122" t="s">
        <v>115</v>
      </c>
      <c r="C22" s="1123"/>
      <c r="D22" s="1123"/>
      <c r="E22" s="1123"/>
      <c r="F22" s="1123"/>
      <c r="G22" s="1124"/>
      <c r="H22" s="259"/>
    </row>
    <row r="23" spans="1:8" ht="19.2" x14ac:dyDescent="0.45">
      <c r="A23" s="258">
        <f t="shared" si="0"/>
        <v>-15</v>
      </c>
      <c r="B23" s="1114" t="s">
        <v>116</v>
      </c>
      <c r="C23" s="1115"/>
      <c r="D23" s="1115"/>
      <c r="E23" s="1115"/>
      <c r="F23" s="1115"/>
      <c r="G23" s="1116"/>
      <c r="H23" s="259"/>
    </row>
    <row r="24" spans="1:8" ht="57.6" customHeight="1" x14ac:dyDescent="0.45">
      <c r="A24" s="258">
        <f t="shared" si="0"/>
        <v>-16</v>
      </c>
      <c r="B24" s="1117" t="s">
        <v>117</v>
      </c>
      <c r="C24" s="1118"/>
      <c r="D24" s="1118"/>
      <c r="E24" s="1118"/>
      <c r="F24" s="1118"/>
      <c r="G24" s="1119"/>
      <c r="H24" s="259"/>
    </row>
    <row r="25" spans="1:8" ht="19.2" x14ac:dyDescent="0.45">
      <c r="A25" s="258">
        <f t="shared" si="0"/>
        <v>-17</v>
      </c>
      <c r="B25" s="1117" t="s">
        <v>118</v>
      </c>
      <c r="C25" s="1118"/>
      <c r="D25" s="1118"/>
      <c r="E25" s="1118"/>
      <c r="F25" s="1118"/>
      <c r="G25" s="1119"/>
      <c r="H25" s="259"/>
    </row>
    <row r="26" spans="1:8" ht="19.2" x14ac:dyDescent="0.45">
      <c r="A26" s="258">
        <f t="shared" si="0"/>
        <v>-18</v>
      </c>
      <c r="B26" s="1114" t="s">
        <v>119</v>
      </c>
      <c r="C26" s="1115"/>
      <c r="D26" s="1115"/>
      <c r="E26" s="1115"/>
      <c r="F26" s="1115"/>
      <c r="G26" s="1116"/>
      <c r="H26" s="259"/>
    </row>
    <row r="27" spans="1:8" ht="19.2" x14ac:dyDescent="0.45">
      <c r="A27" s="258">
        <f t="shared" si="0"/>
        <v>-19</v>
      </c>
      <c r="B27" s="1114" t="s">
        <v>120</v>
      </c>
      <c r="C27" s="1115"/>
      <c r="D27" s="1115"/>
      <c r="E27" s="1115"/>
      <c r="F27" s="1115"/>
      <c r="G27" s="1116"/>
      <c r="H27" s="259"/>
    </row>
    <row r="28" spans="1:8" ht="19.2" x14ac:dyDescent="0.45">
      <c r="A28" s="258">
        <f t="shared" si="0"/>
        <v>-20</v>
      </c>
      <c r="B28" s="1114" t="s">
        <v>121</v>
      </c>
      <c r="C28" s="1115"/>
      <c r="D28" s="1115"/>
      <c r="E28" s="1115"/>
      <c r="F28" s="1115"/>
      <c r="G28" s="1116"/>
      <c r="H28" s="259"/>
    </row>
    <row r="29" spans="1:8" ht="19.2" x14ac:dyDescent="0.45">
      <c r="A29" s="258">
        <f t="shared" si="0"/>
        <v>-21</v>
      </c>
      <c r="B29" s="1114" t="s">
        <v>122</v>
      </c>
      <c r="C29" s="1115"/>
      <c r="D29" s="1115"/>
      <c r="E29" s="1115"/>
      <c r="F29" s="1115"/>
      <c r="G29" s="1116"/>
      <c r="H29" s="259"/>
    </row>
    <row r="30" spans="1:8" ht="19.2" x14ac:dyDescent="0.45">
      <c r="A30" s="258">
        <f t="shared" si="0"/>
        <v>-22</v>
      </c>
      <c r="B30" s="1114" t="s">
        <v>123</v>
      </c>
      <c r="C30" s="1115"/>
      <c r="D30" s="1115"/>
      <c r="E30" s="1115"/>
      <c r="F30" s="1115"/>
      <c r="G30" s="1116"/>
      <c r="H30" s="259"/>
    </row>
    <row r="31" spans="1:8" ht="19.2" x14ac:dyDescent="0.45">
      <c r="A31" s="258">
        <f t="shared" si="0"/>
        <v>-23</v>
      </c>
      <c r="B31" s="1126" t="s">
        <v>124</v>
      </c>
      <c r="C31" s="1126"/>
      <c r="D31" s="1126"/>
      <c r="E31" s="1126"/>
      <c r="F31" s="1126"/>
      <c r="G31" s="1127"/>
      <c r="H31" s="259"/>
    </row>
    <row r="32" spans="1:8" ht="57.6" customHeight="1" x14ac:dyDescent="0.45">
      <c r="A32" s="1120" t="s">
        <v>125</v>
      </c>
      <c r="B32" s="1120"/>
      <c r="C32" s="1120"/>
      <c r="D32" s="1120"/>
      <c r="E32" s="1120"/>
      <c r="F32" s="1120"/>
      <c r="G32" s="1120"/>
      <c r="H32" s="1121"/>
    </row>
    <row r="33" spans="1:8" ht="19.2" x14ac:dyDescent="0.45">
      <c r="A33" s="258">
        <f>A31-1</f>
        <v>-24</v>
      </c>
      <c r="B33" s="1114" t="s">
        <v>126</v>
      </c>
      <c r="C33" s="1115"/>
      <c r="D33" s="1115"/>
      <c r="E33" s="1115"/>
      <c r="F33" s="1115"/>
      <c r="G33" s="1116"/>
      <c r="H33" s="259"/>
    </row>
    <row r="34" spans="1:8" ht="19.2" x14ac:dyDescent="0.45">
      <c r="A34" s="258">
        <f t="shared" ref="A34:A39" si="1">A33-1</f>
        <v>-25</v>
      </c>
      <c r="B34" s="1114" t="s">
        <v>103</v>
      </c>
      <c r="C34" s="1115"/>
      <c r="D34" s="1115"/>
      <c r="E34" s="1115"/>
      <c r="F34" s="1115"/>
      <c r="G34" s="1116"/>
      <c r="H34" s="259"/>
    </row>
    <row r="35" spans="1:8" ht="19.2" x14ac:dyDescent="0.45">
      <c r="A35" s="258">
        <f t="shared" si="1"/>
        <v>-26</v>
      </c>
      <c r="B35" s="1114" t="s">
        <v>104</v>
      </c>
      <c r="C35" s="1115"/>
      <c r="D35" s="1115"/>
      <c r="E35" s="1115"/>
      <c r="F35" s="1115"/>
      <c r="G35" s="1116"/>
      <c r="H35" s="259"/>
    </row>
    <row r="36" spans="1:8" ht="19.2" x14ac:dyDescent="0.45">
      <c r="A36" s="258">
        <f t="shared" si="1"/>
        <v>-27</v>
      </c>
      <c r="B36" s="1114" t="s">
        <v>105</v>
      </c>
      <c r="C36" s="1115"/>
      <c r="D36" s="1115"/>
      <c r="E36" s="1115"/>
      <c r="F36" s="1115"/>
      <c r="G36" s="1116"/>
      <c r="H36" s="259"/>
    </row>
    <row r="37" spans="1:8" ht="19.2" x14ac:dyDescent="0.45">
      <c r="A37" s="258">
        <f t="shared" si="1"/>
        <v>-28</v>
      </c>
      <c r="B37" s="1114" t="s">
        <v>106</v>
      </c>
      <c r="C37" s="1115"/>
      <c r="D37" s="1115"/>
      <c r="E37" s="1115"/>
      <c r="F37" s="1115"/>
      <c r="G37" s="1116"/>
      <c r="H37" s="259"/>
    </row>
    <row r="38" spans="1:8" ht="19.2" x14ac:dyDescent="0.45">
      <c r="A38" s="258">
        <f t="shared" si="1"/>
        <v>-29</v>
      </c>
      <c r="B38" s="1114" t="s">
        <v>107</v>
      </c>
      <c r="C38" s="1115"/>
      <c r="D38" s="1115"/>
      <c r="E38" s="1115"/>
      <c r="F38" s="1115"/>
      <c r="G38" s="1116"/>
      <c r="H38" s="259"/>
    </row>
    <row r="39" spans="1:8" ht="19.2" x14ac:dyDescent="0.45">
      <c r="A39" s="258">
        <f t="shared" si="1"/>
        <v>-30</v>
      </c>
      <c r="B39" s="1128" t="s">
        <v>127</v>
      </c>
      <c r="C39" s="1129"/>
      <c r="D39" s="1129"/>
      <c r="E39" s="1129"/>
      <c r="F39" s="1129"/>
      <c r="G39" s="1130"/>
      <c r="H39" s="259"/>
    </row>
    <row r="40" spans="1:8" ht="38.4" customHeight="1" x14ac:dyDescent="0.45">
      <c r="A40" s="1120" t="s">
        <v>128</v>
      </c>
      <c r="B40" s="1120"/>
      <c r="C40" s="1120"/>
      <c r="D40" s="1120"/>
      <c r="E40" s="1120"/>
      <c r="F40" s="1120"/>
      <c r="G40" s="1120"/>
      <c r="H40" s="1121"/>
    </row>
    <row r="41" spans="1:8" ht="19.2" x14ac:dyDescent="0.45">
      <c r="A41" s="258">
        <f>A39-1</f>
        <v>-31</v>
      </c>
      <c r="B41" s="1114" t="s">
        <v>126</v>
      </c>
      <c r="C41" s="1115"/>
      <c r="D41" s="1115"/>
      <c r="E41" s="1115"/>
      <c r="F41" s="1115"/>
      <c r="G41" s="1116"/>
      <c r="H41" s="259"/>
    </row>
    <row r="42" spans="1:8" ht="19.2" x14ac:dyDescent="0.45">
      <c r="A42" s="258">
        <f>A41-1</f>
        <v>-32</v>
      </c>
      <c r="B42" s="1114" t="s">
        <v>129</v>
      </c>
      <c r="C42" s="1115"/>
      <c r="D42" s="1115"/>
      <c r="E42" s="1115"/>
      <c r="F42" s="1115"/>
      <c r="G42" s="1116"/>
      <c r="H42" s="259"/>
    </row>
    <row r="43" spans="1:8" ht="19.2" x14ac:dyDescent="0.45">
      <c r="A43" s="258">
        <f>A42-1</f>
        <v>-33</v>
      </c>
      <c r="B43" s="1114" t="s">
        <v>103</v>
      </c>
      <c r="C43" s="1115"/>
      <c r="D43" s="1115"/>
      <c r="E43" s="1115"/>
      <c r="F43" s="1115"/>
      <c r="G43" s="1116"/>
      <c r="H43" s="259"/>
    </row>
    <row r="44" spans="1:8" ht="19.2" x14ac:dyDescent="0.45">
      <c r="A44" s="258">
        <f t="shared" ref="A44:A50" si="2">A43-1</f>
        <v>-34</v>
      </c>
      <c r="B44" s="1114" t="s">
        <v>104</v>
      </c>
      <c r="C44" s="1115"/>
      <c r="D44" s="1115"/>
      <c r="E44" s="1115"/>
      <c r="F44" s="1115"/>
      <c r="G44" s="1116"/>
      <c r="H44" s="259"/>
    </row>
    <row r="45" spans="1:8" ht="19.2" x14ac:dyDescent="0.45">
      <c r="A45" s="258">
        <f t="shared" si="2"/>
        <v>-35</v>
      </c>
      <c r="B45" s="1114" t="s">
        <v>130</v>
      </c>
      <c r="C45" s="1115"/>
      <c r="D45" s="1115"/>
      <c r="E45" s="1115"/>
      <c r="F45" s="1115"/>
      <c r="G45" s="1116"/>
      <c r="H45" s="259"/>
    </row>
    <row r="46" spans="1:8" ht="19.2" x14ac:dyDescent="0.45">
      <c r="A46" s="258">
        <f t="shared" si="2"/>
        <v>-36</v>
      </c>
      <c r="B46" s="1114" t="s">
        <v>131</v>
      </c>
      <c r="C46" s="1115"/>
      <c r="D46" s="1115"/>
      <c r="E46" s="1115"/>
      <c r="F46" s="1115"/>
      <c r="G46" s="1116"/>
      <c r="H46" s="259"/>
    </row>
    <row r="47" spans="1:8" ht="19.2" x14ac:dyDescent="0.45">
      <c r="A47" s="258">
        <f t="shared" si="2"/>
        <v>-37</v>
      </c>
      <c r="B47" s="1114" t="s">
        <v>107</v>
      </c>
      <c r="C47" s="1115"/>
      <c r="D47" s="1115"/>
      <c r="E47" s="1115"/>
      <c r="F47" s="1115"/>
      <c r="G47" s="1116"/>
      <c r="H47" s="259"/>
    </row>
    <row r="48" spans="1:8" ht="19.2" x14ac:dyDescent="0.45">
      <c r="A48" s="258">
        <f t="shared" si="2"/>
        <v>-38</v>
      </c>
      <c r="B48" s="1114" t="s">
        <v>108</v>
      </c>
      <c r="C48" s="1115"/>
      <c r="D48" s="1115"/>
      <c r="E48" s="1115"/>
      <c r="F48" s="1115"/>
      <c r="G48" s="1116"/>
      <c r="H48" s="259"/>
    </row>
    <row r="49" spans="1:8" ht="38.4" customHeight="1" x14ac:dyDescent="0.45">
      <c r="A49" s="258">
        <f t="shared" si="2"/>
        <v>-39</v>
      </c>
      <c r="B49" s="1114" t="s">
        <v>132</v>
      </c>
      <c r="C49" s="1115"/>
      <c r="D49" s="1115"/>
      <c r="E49" s="1115"/>
      <c r="F49" s="1115"/>
      <c r="G49" s="1116"/>
      <c r="H49" s="259"/>
    </row>
    <row r="50" spans="1:8" ht="19.2" x14ac:dyDescent="0.45">
      <c r="A50" s="258">
        <f t="shared" si="2"/>
        <v>-40</v>
      </c>
      <c r="B50" s="1114" t="s">
        <v>133</v>
      </c>
      <c r="C50" s="1115"/>
      <c r="D50" s="1115"/>
      <c r="E50" s="1115"/>
      <c r="F50" s="1115"/>
      <c r="G50" s="1116"/>
      <c r="H50" s="259"/>
    </row>
    <row r="51" spans="1:8" ht="57.6" customHeight="1" x14ac:dyDescent="0.45">
      <c r="A51" s="1120" t="s">
        <v>134</v>
      </c>
      <c r="B51" s="1120"/>
      <c r="C51" s="1120"/>
      <c r="D51" s="1120"/>
      <c r="E51" s="1120"/>
      <c r="F51" s="1120"/>
      <c r="G51" s="1120"/>
      <c r="H51" s="1121"/>
    </row>
    <row r="52" spans="1:8" ht="19.2" x14ac:dyDescent="0.45">
      <c r="A52" s="258">
        <f>A50-1</f>
        <v>-41</v>
      </c>
      <c r="B52" s="1114" t="s">
        <v>135</v>
      </c>
      <c r="C52" s="1115"/>
      <c r="D52" s="1115"/>
      <c r="E52" s="1115"/>
      <c r="F52" s="1115"/>
      <c r="G52" s="1116"/>
      <c r="H52" s="259"/>
    </row>
  </sheetData>
  <sheetProtection sheet="1" objects="1" scenarios="1"/>
  <mergeCells count="46">
    <mergeCell ref="F2:H2"/>
    <mergeCell ref="F3:H3"/>
    <mergeCell ref="B30:G30"/>
    <mergeCell ref="B31:G31"/>
    <mergeCell ref="A51:H51"/>
    <mergeCell ref="B38:G38"/>
    <mergeCell ref="B39:G39"/>
    <mergeCell ref="A40:H40"/>
    <mergeCell ref="B41:G41"/>
    <mergeCell ref="A32:H32"/>
    <mergeCell ref="B33:G33"/>
    <mergeCell ref="B34:G34"/>
    <mergeCell ref="B35:G35"/>
    <mergeCell ref="B36:G36"/>
    <mergeCell ref="B37:G37"/>
    <mergeCell ref="B29:G29"/>
    <mergeCell ref="B17:G17"/>
    <mergeCell ref="C18:G18"/>
    <mergeCell ref="C19:G19"/>
    <mergeCell ref="B52:G52"/>
    <mergeCell ref="B42:G42"/>
    <mergeCell ref="B43:G43"/>
    <mergeCell ref="B45:G45"/>
    <mergeCell ref="B44:G44"/>
    <mergeCell ref="B46:G46"/>
    <mergeCell ref="B47:G47"/>
    <mergeCell ref="B48:G48"/>
    <mergeCell ref="B49:G49"/>
    <mergeCell ref="B50:G50"/>
    <mergeCell ref="B28:G28"/>
    <mergeCell ref="B13:G13"/>
    <mergeCell ref="B25:G25"/>
    <mergeCell ref="B27:G27"/>
    <mergeCell ref="A8:H8"/>
    <mergeCell ref="B9:G9"/>
    <mergeCell ref="B10:G10"/>
    <mergeCell ref="B11:G11"/>
    <mergeCell ref="B12:G12"/>
    <mergeCell ref="B22:G22"/>
    <mergeCell ref="C20:G20"/>
    <mergeCell ref="B21:G21"/>
    <mergeCell ref="B23:G23"/>
    <mergeCell ref="B24:G24"/>
    <mergeCell ref="B26:G26"/>
    <mergeCell ref="B14:G14"/>
    <mergeCell ref="B16:G16"/>
  </mergeCells>
  <conditionalFormatting sqref="H9:H16">
    <cfRule type="cellIs" dxfId="188" priority="3" operator="equal">
      <formula>$H$13</formula>
    </cfRule>
  </conditionalFormatting>
  <conditionalFormatting sqref="H18:H31">
    <cfRule type="cellIs" dxfId="187" priority="5" operator="equal">
      <formula>$H$13</formula>
    </cfRule>
  </conditionalFormatting>
  <conditionalFormatting sqref="H33:H39">
    <cfRule type="cellIs" dxfId="186" priority="4" operator="equal">
      <formula>$H$13</formula>
    </cfRule>
  </conditionalFormatting>
  <conditionalFormatting sqref="H41:H50">
    <cfRule type="cellIs" dxfId="185" priority="9" operator="equal">
      <formula>$H$13</formula>
    </cfRule>
  </conditionalFormatting>
  <conditionalFormatting sqref="H52">
    <cfRule type="cellIs" dxfId="184" priority="2" operator="equal">
      <formula>$H$13</formula>
    </cfRule>
  </conditionalFormatting>
  <pageMargins left="0.7" right="0.7" top="0.75" bottom="0.75" header="0.3" footer="0.3"/>
  <pageSetup scale="95" orientation="portrait" r:id="rId1"/>
  <rowBreaks count="1" manualBreakCount="1">
    <brk id="27" max="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1"/>
  <dimension ref="A1:O52"/>
  <sheetViews>
    <sheetView showGridLines="0" zoomScaleNormal="100" zoomScaleSheetLayoutView="100" workbookViewId="0"/>
  </sheetViews>
  <sheetFormatPr defaultColWidth="8.88671875" defaultRowHeight="19.2" x14ac:dyDescent="0.45"/>
  <cols>
    <col min="1" max="1" width="3.5546875" style="307" bestFit="1" customWidth="1"/>
    <col min="2" max="2" width="29.88671875" style="257" customWidth="1"/>
    <col min="3" max="3" width="12.44140625" style="257" customWidth="1"/>
    <col min="4" max="4" width="12.5546875" style="257" customWidth="1"/>
    <col min="5" max="5" width="9.5546875" style="257" customWidth="1"/>
    <col min="6" max="6" width="14.5546875" style="257" customWidth="1"/>
    <col min="7" max="7" width="16" style="257" customWidth="1"/>
    <col min="8" max="8" width="8.88671875" style="257"/>
    <col min="9" max="9" width="0" style="257" hidden="1" customWidth="1"/>
    <col min="10" max="15" width="8.88671875" style="257" hidden="1" customWidth="1"/>
    <col min="16" max="16" width="8.88671875" style="257" customWidth="1"/>
    <col min="17" max="16384" width="8.88671875" style="257"/>
  </cols>
  <sheetData>
    <row r="1" spans="1:15" x14ac:dyDescent="0.45">
      <c r="A1" s="1055" t="str">
        <f>'General Information'!$A$1</f>
        <v>Texas Department of Insurance</v>
      </c>
    </row>
    <row r="2" spans="1:15" x14ac:dyDescent="0.45">
      <c r="A2" s="1055" t="str">
        <f>'General Information'!$A$2</f>
        <v>Property and Casualty Rate Filing Exhibits</v>
      </c>
      <c r="F2" s="160" t="s">
        <v>97</v>
      </c>
      <c r="G2" s="1071" t="str">
        <f>'General Information'!$E$2</f>
        <v>Fill out Gen Info</v>
      </c>
    </row>
    <row r="3" spans="1:15" x14ac:dyDescent="0.45">
      <c r="A3" s="1055" t="str">
        <f>'General Information'!$A$3</f>
        <v>Rate Filing Template (2025 Edition)</v>
      </c>
      <c r="F3" s="160" t="s">
        <v>98</v>
      </c>
      <c r="G3" s="1071" t="str">
        <f>'General Information'!$E$3</f>
        <v>Fill out Gen Info</v>
      </c>
    </row>
    <row r="4" spans="1:15" x14ac:dyDescent="0.45">
      <c r="A4" s="374"/>
    </row>
    <row r="5" spans="1:15" x14ac:dyDescent="0.45">
      <c r="A5" s="1221" t="s">
        <v>662</v>
      </c>
      <c r="B5" s="1199"/>
      <c r="C5" s="1199"/>
      <c r="D5" s="1199"/>
      <c r="E5" s="1199"/>
      <c r="F5" s="1199"/>
      <c r="G5" s="1199"/>
    </row>
    <row r="7" spans="1:15" x14ac:dyDescent="0.45">
      <c r="B7" s="290" t="s">
        <v>663</v>
      </c>
      <c r="E7" s="160"/>
      <c r="F7" s="289"/>
    </row>
    <row r="8" spans="1:15" x14ac:dyDescent="0.45">
      <c r="B8" s="1482" t="s">
        <v>664</v>
      </c>
      <c r="C8" s="1482"/>
      <c r="D8" s="1482"/>
      <c r="E8" s="1482"/>
      <c r="F8" s="1482"/>
      <c r="G8" s="1482"/>
      <c r="J8" s="257" t="s">
        <v>27</v>
      </c>
    </row>
    <row r="9" spans="1:15" x14ac:dyDescent="0.45">
      <c r="B9" s="1482"/>
      <c r="C9" s="1482"/>
      <c r="D9" s="1482"/>
      <c r="E9" s="1482"/>
      <c r="F9" s="1482"/>
      <c r="G9" s="1482"/>
      <c r="J9" s="257" t="s">
        <v>28</v>
      </c>
    </row>
    <row r="10" spans="1:15" x14ac:dyDescent="0.45">
      <c r="E10" s="160"/>
      <c r="F10" s="289"/>
    </row>
    <row r="11" spans="1:15" ht="76.95" customHeight="1" x14ac:dyDescent="0.45">
      <c r="B11" s="918" t="s">
        <v>665</v>
      </c>
      <c r="C11" s="1022" t="s">
        <v>666</v>
      </c>
      <c r="D11" s="1022" t="s">
        <v>667</v>
      </c>
      <c r="E11" s="1022" t="s">
        <v>668</v>
      </c>
      <c r="F11" s="1022" t="s">
        <v>669</v>
      </c>
      <c r="G11" s="1022" t="s">
        <v>670</v>
      </c>
      <c r="I11" s="257" t="s">
        <v>35</v>
      </c>
      <c r="J11" s="919" t="s">
        <v>671</v>
      </c>
      <c r="K11" s="919" t="s">
        <v>668</v>
      </c>
      <c r="L11" s="919" t="s">
        <v>672</v>
      </c>
      <c r="M11" s="919" t="s">
        <v>673</v>
      </c>
      <c r="N11" s="919" t="s">
        <v>674</v>
      </c>
      <c r="O11" s="920" t="s">
        <v>675</v>
      </c>
    </row>
    <row r="12" spans="1:15" x14ac:dyDescent="0.45">
      <c r="B12" s="921" t="s">
        <v>35</v>
      </c>
      <c r="C12" s="922"/>
      <c r="D12" s="923"/>
      <c r="E12" s="924"/>
      <c r="F12" s="924"/>
      <c r="G12" s="925"/>
      <c r="I12" s="257" t="s">
        <v>676</v>
      </c>
      <c r="J12" s="1103" t="str">
        <f t="shared" ref="J12:J18" si="0">IF(NOT(B12=$I$11),"TRUE","FALSE")</f>
        <v>FALSE</v>
      </c>
      <c r="K12" s="1103">
        <f t="shared" ref="K12:K20" si="1">IF(E12="Yes",1,0)</f>
        <v>0</v>
      </c>
      <c r="L12" s="1103">
        <f t="shared" ref="L12:L20" si="2">IF(F12="Yes",1,0)</f>
        <v>0</v>
      </c>
      <c r="M12" s="1103">
        <f t="shared" ref="M12:M20" si="3">IF(G12="Yes",1,0)</f>
        <v>0</v>
      </c>
      <c r="N12" s="257">
        <f>L12+M12</f>
        <v>0</v>
      </c>
      <c r="O12" s="257">
        <f>IF(AND(J12="TRUE",N12=0),1,0)</f>
        <v>0</v>
      </c>
    </row>
    <row r="13" spans="1:15" x14ac:dyDescent="0.45">
      <c r="B13" s="926" t="s">
        <v>35</v>
      </c>
      <c r="C13" s="927"/>
      <c r="D13" s="928"/>
      <c r="E13" s="929"/>
      <c r="F13" s="929"/>
      <c r="G13" s="930"/>
      <c r="I13" s="257" t="s">
        <v>677</v>
      </c>
      <c r="J13" s="1103" t="str">
        <f t="shared" si="0"/>
        <v>FALSE</v>
      </c>
      <c r="K13" s="1103">
        <f t="shared" si="1"/>
        <v>0</v>
      </c>
      <c r="L13" s="1103">
        <f t="shared" si="2"/>
        <v>0</v>
      </c>
      <c r="M13" s="1103">
        <f t="shared" si="3"/>
        <v>0</v>
      </c>
      <c r="N13" s="257">
        <f t="shared" ref="N13:N18" si="4">L13+M13</f>
        <v>0</v>
      </c>
      <c r="O13" s="257">
        <f t="shared" ref="O13:O18" si="5">IF(AND(J13="TRUE",N13=0),1,0)</f>
        <v>0</v>
      </c>
    </row>
    <row r="14" spans="1:15" x14ac:dyDescent="0.45">
      <c r="B14" s="931" t="s">
        <v>35</v>
      </c>
      <c r="C14" s="932"/>
      <c r="D14" s="933"/>
      <c r="E14" s="269"/>
      <c r="F14" s="269"/>
      <c r="G14" s="934"/>
      <c r="I14" s="257" t="s">
        <v>678</v>
      </c>
      <c r="J14" s="1103" t="str">
        <f t="shared" si="0"/>
        <v>FALSE</v>
      </c>
      <c r="K14" s="1103">
        <f t="shared" si="1"/>
        <v>0</v>
      </c>
      <c r="L14" s="1103">
        <f t="shared" si="2"/>
        <v>0</v>
      </c>
      <c r="M14" s="1103">
        <f t="shared" si="3"/>
        <v>0</v>
      </c>
      <c r="N14" s="257">
        <f t="shared" si="4"/>
        <v>0</v>
      </c>
      <c r="O14" s="257">
        <f t="shared" si="5"/>
        <v>0</v>
      </c>
    </row>
    <row r="15" spans="1:15" x14ac:dyDescent="0.45">
      <c r="B15" s="926" t="s">
        <v>35</v>
      </c>
      <c r="C15" s="927"/>
      <c r="D15" s="928"/>
      <c r="E15" s="929"/>
      <c r="F15" s="929"/>
      <c r="G15" s="930"/>
      <c r="I15" s="257" t="s">
        <v>679</v>
      </c>
      <c r="J15" s="1103" t="str">
        <f t="shared" si="0"/>
        <v>FALSE</v>
      </c>
      <c r="K15" s="1103">
        <f t="shared" si="1"/>
        <v>0</v>
      </c>
      <c r="L15" s="1103">
        <f t="shared" si="2"/>
        <v>0</v>
      </c>
      <c r="M15" s="1103">
        <f t="shared" si="3"/>
        <v>0</v>
      </c>
      <c r="N15" s="257">
        <f t="shared" si="4"/>
        <v>0</v>
      </c>
      <c r="O15" s="257">
        <f t="shared" si="5"/>
        <v>0</v>
      </c>
    </row>
    <row r="16" spans="1:15" x14ac:dyDescent="0.45">
      <c r="B16" s="931" t="s">
        <v>35</v>
      </c>
      <c r="C16" s="932"/>
      <c r="D16" s="933"/>
      <c r="E16" s="269"/>
      <c r="F16" s="269"/>
      <c r="G16" s="934"/>
      <c r="I16" s="257" t="s">
        <v>680</v>
      </c>
      <c r="J16" s="1103" t="str">
        <f t="shared" si="0"/>
        <v>FALSE</v>
      </c>
      <c r="K16" s="1103">
        <f t="shared" si="1"/>
        <v>0</v>
      </c>
      <c r="L16" s="1103">
        <f t="shared" si="2"/>
        <v>0</v>
      </c>
      <c r="M16" s="1103">
        <f t="shared" si="3"/>
        <v>0</v>
      </c>
      <c r="N16" s="257">
        <f t="shared" si="4"/>
        <v>0</v>
      </c>
      <c r="O16" s="257">
        <f t="shared" si="5"/>
        <v>0</v>
      </c>
    </row>
    <row r="17" spans="1:15" x14ac:dyDescent="0.45">
      <c r="B17" s="926" t="s">
        <v>35</v>
      </c>
      <c r="C17" s="927"/>
      <c r="D17" s="928"/>
      <c r="E17" s="929"/>
      <c r="F17" s="929"/>
      <c r="G17" s="930"/>
      <c r="I17" s="257" t="s">
        <v>681</v>
      </c>
      <c r="J17" s="1103" t="str">
        <f t="shared" si="0"/>
        <v>FALSE</v>
      </c>
      <c r="K17" s="1103">
        <f t="shared" si="1"/>
        <v>0</v>
      </c>
      <c r="L17" s="1103">
        <f t="shared" si="2"/>
        <v>0</v>
      </c>
      <c r="M17" s="1103">
        <f t="shared" si="3"/>
        <v>0</v>
      </c>
      <c r="N17" s="257">
        <f t="shared" si="4"/>
        <v>0</v>
      </c>
      <c r="O17" s="257">
        <f t="shared" si="5"/>
        <v>0</v>
      </c>
    </row>
    <row r="18" spans="1:15" x14ac:dyDescent="0.45">
      <c r="B18" s="931" t="s">
        <v>35</v>
      </c>
      <c r="C18" s="932"/>
      <c r="D18" s="933"/>
      <c r="E18" s="269"/>
      <c r="F18" s="269"/>
      <c r="G18" s="934"/>
      <c r="I18" s="257" t="s">
        <v>682</v>
      </c>
      <c r="J18" s="1103" t="str">
        <f t="shared" si="0"/>
        <v>FALSE</v>
      </c>
      <c r="K18" s="1103">
        <f t="shared" si="1"/>
        <v>0</v>
      </c>
      <c r="L18" s="1103">
        <f t="shared" si="2"/>
        <v>0</v>
      </c>
      <c r="M18" s="1103">
        <f t="shared" si="3"/>
        <v>0</v>
      </c>
      <c r="N18" s="257">
        <f t="shared" si="4"/>
        <v>0</v>
      </c>
      <c r="O18" s="257">
        <f t="shared" si="5"/>
        <v>0</v>
      </c>
    </row>
    <row r="19" spans="1:15" s="863" customFormat="1" x14ac:dyDescent="0.45">
      <c r="A19" s="307"/>
      <c r="B19" s="926"/>
      <c r="C19" s="927"/>
      <c r="D19" s="928"/>
      <c r="E19" s="929"/>
      <c r="F19" s="929"/>
      <c r="G19" s="930"/>
      <c r="H19" s="257"/>
      <c r="I19" s="257"/>
      <c r="J19" s="1103" t="str">
        <f>IF(B19="","FALSE","TRUE")</f>
        <v>FALSE</v>
      </c>
      <c r="K19" s="1103">
        <f t="shared" si="1"/>
        <v>0</v>
      </c>
      <c r="L19" s="1103">
        <f t="shared" si="2"/>
        <v>0</v>
      </c>
      <c r="M19" s="1103">
        <f t="shared" si="3"/>
        <v>0</v>
      </c>
      <c r="N19" s="257">
        <f>L19+M19</f>
        <v>0</v>
      </c>
      <c r="O19" s="257">
        <f>IF(AND(J19="TRUE",N19=0),1,0)</f>
        <v>0</v>
      </c>
    </row>
    <row r="20" spans="1:15" s="863" customFormat="1" x14ac:dyDescent="0.45">
      <c r="A20" s="307"/>
      <c r="B20" s="1048"/>
      <c r="C20" s="1049"/>
      <c r="D20" s="1050"/>
      <c r="E20" s="1051"/>
      <c r="F20" s="1051"/>
      <c r="G20" s="1052"/>
      <c r="H20" s="257"/>
      <c r="I20" s="257"/>
      <c r="J20" s="1103" t="str">
        <f>IF(B20="","FALSE","TRUE")</f>
        <v>FALSE</v>
      </c>
      <c r="K20" s="1103">
        <f t="shared" si="1"/>
        <v>0</v>
      </c>
      <c r="L20" s="1103">
        <f t="shared" si="2"/>
        <v>0</v>
      </c>
      <c r="M20" s="1103">
        <f t="shared" si="3"/>
        <v>0</v>
      </c>
      <c r="N20" s="257">
        <f>L20+M20</f>
        <v>0</v>
      </c>
      <c r="O20" s="257">
        <f>IF(AND(J20="TRUE",N20=0),1,0)</f>
        <v>0</v>
      </c>
    </row>
    <row r="21" spans="1:15" x14ac:dyDescent="0.45">
      <c r="J21" s="935" t="e">
        <f>J12+J13+J14+J15+J16+J17+J18+J19+#REF!+#REF!+#REF!+#REF!+#REF!+J20</f>
        <v>#VALUE!</v>
      </c>
      <c r="K21" s="935"/>
      <c r="L21" s="935">
        <f>SUM(L12:L20)</f>
        <v>0</v>
      </c>
      <c r="M21" s="935">
        <f>SUM(M12:M20)</f>
        <v>0</v>
      </c>
      <c r="O21" s="257">
        <f>SUM(O12:O20)</f>
        <v>0</v>
      </c>
    </row>
    <row r="22" spans="1:15" x14ac:dyDescent="0.45">
      <c r="A22" s="307">
        <v>-1</v>
      </c>
      <c r="B22" s="1186" t="s">
        <v>683</v>
      </c>
      <c r="C22" s="1187"/>
      <c r="D22" s="1187"/>
      <c r="E22" s="1187"/>
      <c r="F22" s="1187"/>
      <c r="G22" s="1188"/>
    </row>
    <row r="23" spans="1:15" x14ac:dyDescent="0.45">
      <c r="B23" s="1192"/>
      <c r="C23" s="1193"/>
      <c r="D23" s="1193"/>
      <c r="E23" s="1193"/>
      <c r="F23" s="1193"/>
      <c r="G23" s="1194"/>
    </row>
    <row r="24" spans="1:15" x14ac:dyDescent="0.45">
      <c r="B24" s="1180"/>
      <c r="C24" s="1181"/>
      <c r="D24" s="1181"/>
      <c r="E24" s="1181"/>
      <c r="F24" s="1181"/>
      <c r="G24" s="1182"/>
    </row>
    <row r="25" spans="1:15" x14ac:dyDescent="0.45">
      <c r="B25" s="1180"/>
      <c r="C25" s="1181"/>
      <c r="D25" s="1181"/>
      <c r="E25" s="1181"/>
      <c r="F25" s="1181"/>
      <c r="G25" s="1182"/>
    </row>
    <row r="26" spans="1:15" x14ac:dyDescent="0.45">
      <c r="B26" s="1183"/>
      <c r="C26" s="1184"/>
      <c r="D26" s="1184"/>
      <c r="E26" s="1184"/>
      <c r="F26" s="1184"/>
      <c r="G26" s="1185"/>
    </row>
    <row r="27" spans="1:15" x14ac:dyDescent="0.45">
      <c r="J27" s="935"/>
      <c r="K27" s="935"/>
      <c r="L27" s="935"/>
      <c r="M27" s="935"/>
    </row>
    <row r="28" spans="1:15" ht="38.4" customHeight="1" x14ac:dyDescent="0.45">
      <c r="A28" s="839">
        <f>A22-1</f>
        <v>-2</v>
      </c>
      <c r="B28" s="1437" t="s">
        <v>684</v>
      </c>
      <c r="C28" s="1438"/>
      <c r="D28" s="1438"/>
      <c r="E28" s="1438"/>
      <c r="F28" s="1438"/>
      <c r="G28" s="1439"/>
    </row>
    <row r="29" spans="1:15" x14ac:dyDescent="0.45">
      <c r="B29" s="1251"/>
      <c r="C29" s="1252"/>
      <c r="D29" s="1252"/>
      <c r="E29" s="1252"/>
      <c r="F29" s="1252"/>
      <c r="G29" s="1253"/>
    </row>
    <row r="30" spans="1:15" x14ac:dyDescent="0.45">
      <c r="B30" s="1183"/>
      <c r="C30" s="1184"/>
      <c r="D30" s="1184"/>
      <c r="E30" s="1184"/>
      <c r="F30" s="1184"/>
      <c r="G30" s="1185"/>
    </row>
    <row r="33" spans="1:7" ht="38.4" customHeight="1" x14ac:dyDescent="0.45">
      <c r="A33" s="839">
        <f>A28-1</f>
        <v>-3</v>
      </c>
      <c r="B33" s="1186" t="s">
        <v>685</v>
      </c>
      <c r="C33" s="1187"/>
      <c r="D33" s="1187"/>
      <c r="E33" s="1187"/>
      <c r="F33" s="1497"/>
      <c r="G33" s="936"/>
    </row>
    <row r="34" spans="1:7" ht="14.4" customHeight="1" x14ac:dyDescent="0.45">
      <c r="B34" s="1494" t="s">
        <v>686</v>
      </c>
      <c r="C34" s="1495"/>
      <c r="D34" s="1495"/>
      <c r="E34" s="1495"/>
      <c r="F34" s="1495"/>
      <c r="G34" s="1496"/>
    </row>
    <row r="35" spans="1:7" x14ac:dyDescent="0.45">
      <c r="A35" s="307">
        <f>A33-1</f>
        <v>-4</v>
      </c>
      <c r="B35" s="937" t="s">
        <v>687</v>
      </c>
      <c r="G35" s="938"/>
    </row>
    <row r="36" spans="1:7" x14ac:dyDescent="0.45">
      <c r="B36" s="1251"/>
      <c r="C36" s="1252"/>
      <c r="D36" s="1252"/>
      <c r="E36" s="1252"/>
      <c r="F36" s="1252"/>
      <c r="G36" s="1253"/>
    </row>
    <row r="37" spans="1:7" x14ac:dyDescent="0.45">
      <c r="B37" s="1180"/>
      <c r="C37" s="1181"/>
      <c r="D37" s="1181"/>
      <c r="E37" s="1181"/>
      <c r="F37" s="1181"/>
      <c r="G37" s="1182"/>
    </row>
    <row r="38" spans="1:7" x14ac:dyDescent="0.45">
      <c r="B38" s="1183"/>
      <c r="C38" s="1184"/>
      <c r="D38" s="1184"/>
      <c r="E38" s="1184"/>
      <c r="F38" s="1184"/>
      <c r="G38" s="1185"/>
    </row>
    <row r="39" spans="1:7" x14ac:dyDescent="0.45">
      <c r="B39" s="370"/>
    </row>
    <row r="40" spans="1:7" ht="38.4" customHeight="1" x14ac:dyDescent="0.45">
      <c r="A40" s="839">
        <f>A35-1</f>
        <v>-5</v>
      </c>
      <c r="B40" s="1186" t="s">
        <v>688</v>
      </c>
      <c r="C40" s="1187"/>
      <c r="D40" s="1187"/>
      <c r="E40" s="1187"/>
      <c r="F40" s="1497"/>
      <c r="G40" s="939"/>
    </row>
    <row r="41" spans="1:7" ht="14.4" customHeight="1" x14ac:dyDescent="0.45">
      <c r="B41" s="1494" t="s">
        <v>686</v>
      </c>
      <c r="C41" s="1495"/>
      <c r="D41" s="1495"/>
      <c r="E41" s="1495"/>
      <c r="F41" s="1495"/>
      <c r="G41" s="1496"/>
    </row>
    <row r="42" spans="1:7" x14ac:dyDescent="0.45">
      <c r="A42" s="307">
        <f>A40-1</f>
        <v>-6</v>
      </c>
      <c r="B42" s="940" t="s">
        <v>687</v>
      </c>
      <c r="C42" s="1107"/>
      <c r="D42" s="1107"/>
      <c r="E42" s="1107"/>
      <c r="F42" s="1107"/>
      <c r="G42" s="1108"/>
    </row>
    <row r="43" spans="1:7" x14ac:dyDescent="0.45">
      <c r="B43" s="1180"/>
      <c r="C43" s="1181"/>
      <c r="D43" s="1181"/>
      <c r="E43" s="1181"/>
      <c r="F43" s="1181"/>
      <c r="G43" s="1182"/>
    </row>
    <row r="44" spans="1:7" x14ac:dyDescent="0.45">
      <c r="B44" s="1180"/>
      <c r="C44" s="1181"/>
      <c r="D44" s="1181"/>
      <c r="E44" s="1181"/>
      <c r="F44" s="1181"/>
      <c r="G44" s="1182"/>
    </row>
    <row r="45" spans="1:7" x14ac:dyDescent="0.45">
      <c r="B45" s="1183"/>
      <c r="C45" s="1184"/>
      <c r="D45" s="1184"/>
      <c r="E45" s="1184"/>
      <c r="F45" s="1184"/>
      <c r="G45" s="1185"/>
    </row>
    <row r="47" spans="1:7" ht="19.2" customHeight="1" x14ac:dyDescent="0.45">
      <c r="A47" s="307">
        <f>A42-1</f>
        <v>-7</v>
      </c>
      <c r="B47" s="1298" t="s">
        <v>689</v>
      </c>
      <c r="C47" s="1489"/>
      <c r="D47" s="1489"/>
      <c r="E47" s="1489"/>
      <c r="F47" s="1489"/>
      <c r="G47" s="1490"/>
    </row>
    <row r="48" spans="1:7" ht="38.4" customHeight="1" x14ac:dyDescent="0.45">
      <c r="B48" s="1491"/>
      <c r="C48" s="1492"/>
      <c r="D48" s="1492"/>
      <c r="E48" s="1492"/>
      <c r="F48" s="1492"/>
      <c r="G48" s="1493"/>
    </row>
    <row r="49" spans="2:7" x14ac:dyDescent="0.45">
      <c r="B49" s="1180"/>
      <c r="C49" s="1483"/>
      <c r="D49" s="1483"/>
      <c r="E49" s="1483"/>
      <c r="F49" s="1483"/>
      <c r="G49" s="1484"/>
    </row>
    <row r="50" spans="2:7" x14ac:dyDescent="0.45">
      <c r="B50" s="1485"/>
      <c r="C50" s="1483"/>
      <c r="D50" s="1483"/>
      <c r="E50" s="1483"/>
      <c r="F50" s="1483"/>
      <c r="G50" s="1484"/>
    </row>
    <row r="51" spans="2:7" x14ac:dyDescent="0.45">
      <c r="B51" s="1485"/>
      <c r="C51" s="1483"/>
      <c r="D51" s="1483"/>
      <c r="E51" s="1483"/>
      <c r="F51" s="1483"/>
      <c r="G51" s="1484"/>
    </row>
    <row r="52" spans="2:7" x14ac:dyDescent="0.45">
      <c r="B52" s="1486"/>
      <c r="C52" s="1487"/>
      <c r="D52" s="1487"/>
      <c r="E52" s="1487"/>
      <c r="F52" s="1487"/>
      <c r="G52" s="1488"/>
    </row>
  </sheetData>
  <sheetProtection sheet="1" objects="1" scenarios="1"/>
  <mergeCells count="14">
    <mergeCell ref="A5:G5"/>
    <mergeCell ref="B43:G45"/>
    <mergeCell ref="B29:G30"/>
    <mergeCell ref="B8:G9"/>
    <mergeCell ref="B49:G52"/>
    <mergeCell ref="B47:G48"/>
    <mergeCell ref="B24:G26"/>
    <mergeCell ref="B36:G38"/>
    <mergeCell ref="B41:G41"/>
    <mergeCell ref="B22:G23"/>
    <mergeCell ref="B28:G28"/>
    <mergeCell ref="B33:F33"/>
    <mergeCell ref="B34:G34"/>
    <mergeCell ref="B40:F40"/>
  </mergeCells>
  <conditionalFormatting sqref="B29 G33 B36 G40 B43">
    <cfRule type="expression" dxfId="12" priority="25">
      <formula>AND($M$21&gt;0,B29="")</formula>
    </cfRule>
  </conditionalFormatting>
  <conditionalFormatting sqref="B49">
    <cfRule type="expression" dxfId="11" priority="50">
      <formula>AND($B$49="",$O$21&gt;0)</formula>
    </cfRule>
  </conditionalFormatting>
  <conditionalFormatting sqref="B12:G20">
    <cfRule type="expression" dxfId="10" priority="2">
      <formula>$B$12=$I$11</formula>
    </cfRule>
  </conditionalFormatting>
  <conditionalFormatting sqref="B24:G26">
    <cfRule type="expression" dxfId="9" priority="48">
      <formula>AND($L$21&gt;0,$B$24="")</formula>
    </cfRule>
  </conditionalFormatting>
  <conditionalFormatting sqref="C12:G20">
    <cfRule type="expression" dxfId="8" priority="1">
      <formula>AND($J12="TRUE",C12="")</formula>
    </cfRule>
  </conditionalFormatting>
  <conditionalFormatting sqref="G33 G40">
    <cfRule type="expression" dxfId="7" priority="30">
      <formula>AND($M$21=TRUE,$G33="")</formula>
    </cfRule>
  </conditionalFormatting>
  <dataValidations count="2">
    <dataValidation type="list" allowBlank="1" showInputMessage="1" showErrorMessage="1" sqref="B12:B18" xr:uid="{00000000-0002-0000-1900-000001000000}">
      <formula1>$I$11:$I$18</formula1>
    </dataValidation>
    <dataValidation type="list" showInputMessage="1" showErrorMessage="1" sqref="E12:G20" xr:uid="{00000000-0002-0000-1900-000000000000}">
      <formula1>$J$7:$J$9</formula1>
    </dataValidation>
  </dataValidations>
  <printOptions horizontalCentered="1"/>
  <pageMargins left="0.25" right="0.25" top="0.75" bottom="0.75" header="0.3" footer="0.3"/>
  <pageSetup fitToWidth="0" fitToHeight="0" orientation="portrait" r:id="rId1"/>
  <rowBreaks count="1" manualBreakCount="1">
    <brk id="31" max="6"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dimension ref="A1:K110"/>
  <sheetViews>
    <sheetView showGridLines="0" zoomScaleNormal="100" zoomScaleSheetLayoutView="100" zoomScalePageLayoutView="85" workbookViewId="0"/>
  </sheetViews>
  <sheetFormatPr defaultColWidth="8.88671875" defaultRowHeight="19.2" x14ac:dyDescent="0.45"/>
  <cols>
    <col min="1" max="1" width="3.33203125" style="257" customWidth="1"/>
    <col min="2" max="2" width="10.6640625" style="257" customWidth="1"/>
    <col min="3" max="3" width="11.6640625" style="257" customWidth="1"/>
    <col min="4" max="4" width="14.109375" style="257" customWidth="1"/>
    <col min="5" max="5" width="14.33203125" style="257" customWidth="1"/>
    <col min="6" max="6" width="6.5546875" style="257" customWidth="1"/>
    <col min="7" max="7" width="13.109375" style="257" customWidth="1"/>
    <col min="8" max="8" width="17.6640625" style="257" customWidth="1"/>
    <col min="9" max="16384" width="8.88671875" style="257"/>
  </cols>
  <sheetData>
    <row r="1" spans="1:11" x14ac:dyDescent="0.45">
      <c r="A1" s="1055" t="str">
        <f>'General Information'!$A$1</f>
        <v>Texas Department of Insurance</v>
      </c>
    </row>
    <row r="2" spans="1:11" x14ac:dyDescent="0.45">
      <c r="A2" s="1055" t="str">
        <f>'General Information'!$A$2</f>
        <v>Property and Casualty Rate Filing Exhibits</v>
      </c>
      <c r="G2" s="160" t="s">
        <v>97</v>
      </c>
      <c r="H2" s="1071" t="str">
        <f>'General Information'!$E$2</f>
        <v>Fill out Gen Info</v>
      </c>
    </row>
    <row r="3" spans="1:11" x14ac:dyDescent="0.45">
      <c r="A3" s="1055" t="str">
        <f>'General Information'!$A$3</f>
        <v>Rate Filing Template (2025 Edition)</v>
      </c>
      <c r="G3" s="160" t="s">
        <v>98</v>
      </c>
      <c r="H3" s="1071" t="str">
        <f>'General Information'!$E$3</f>
        <v>Fill out Gen Info</v>
      </c>
    </row>
    <row r="5" spans="1:11" x14ac:dyDescent="0.45">
      <c r="A5" s="1221" t="s">
        <v>690</v>
      </c>
      <c r="B5" s="1199"/>
      <c r="C5" s="1199"/>
      <c r="D5" s="1199"/>
      <c r="E5" s="1199"/>
      <c r="F5" s="1199"/>
      <c r="G5" s="1199"/>
      <c r="H5" s="1199"/>
    </row>
    <row r="7" spans="1:11" ht="38.4" customHeight="1" x14ac:dyDescent="0.45">
      <c r="B7" s="1498" t="s">
        <v>691</v>
      </c>
      <c r="C7" s="1498"/>
      <c r="D7" s="1498"/>
      <c r="E7" s="1498"/>
      <c r="F7" s="1498"/>
      <c r="G7" s="1498"/>
      <c r="H7" s="1498"/>
    </row>
    <row r="8" spans="1:11" x14ac:dyDescent="0.45">
      <c r="C8" s="1109"/>
      <c r="D8" s="1109"/>
      <c r="E8" s="1109"/>
      <c r="F8" s="1109"/>
      <c r="G8" s="1109"/>
      <c r="H8" s="1109"/>
    </row>
    <row r="9" spans="1:11" x14ac:dyDescent="0.45">
      <c r="A9" s="307">
        <v>-1</v>
      </c>
      <c r="B9" s="257" t="s">
        <v>692</v>
      </c>
      <c r="D9" s="941"/>
      <c r="E9" s="553"/>
    </row>
    <row r="10" spans="1:11" x14ac:dyDescent="0.45">
      <c r="A10" s="307">
        <f>A9-1</f>
        <v>-2</v>
      </c>
      <c r="B10" s="257" t="s">
        <v>693</v>
      </c>
      <c r="D10" s="942"/>
      <c r="E10" s="553"/>
    </row>
    <row r="11" spans="1:11" x14ac:dyDescent="0.45">
      <c r="D11" s="568"/>
    </row>
    <row r="12" spans="1:11" x14ac:dyDescent="0.45">
      <c r="B12" s="550">
        <f>A10-1</f>
        <v>-3</v>
      </c>
      <c r="C12" s="550">
        <f>B12-1</f>
        <v>-4</v>
      </c>
      <c r="D12" s="550">
        <f>C12-1</f>
        <v>-5</v>
      </c>
      <c r="E12" s="550">
        <f>D12-1</f>
        <v>-6</v>
      </c>
    </row>
    <row r="13" spans="1:11" x14ac:dyDescent="0.45">
      <c r="B13" s="1202" t="s">
        <v>694</v>
      </c>
      <c r="C13" s="1203"/>
      <c r="D13" s="287" t="s">
        <v>695</v>
      </c>
      <c r="E13" s="943" t="s">
        <v>696</v>
      </c>
      <c r="G13" s="1089"/>
      <c r="H13" s="1089"/>
      <c r="I13" s="1089"/>
      <c r="J13" s="1089"/>
      <c r="K13" s="1089"/>
    </row>
    <row r="14" spans="1:11" x14ac:dyDescent="0.45">
      <c r="B14" s="703">
        <f>IF(D9="",-0.3,D9)</f>
        <v>-0.3</v>
      </c>
      <c r="C14" s="711">
        <v>-0.251</v>
      </c>
      <c r="D14" s="944"/>
      <c r="E14" s="867">
        <f>IFERROR(D14/$D$27,0)</f>
        <v>0</v>
      </c>
      <c r="G14" s="1089"/>
      <c r="H14" s="1089"/>
      <c r="I14" s="1089"/>
      <c r="J14" s="1089"/>
      <c r="K14" s="1089"/>
    </row>
    <row r="15" spans="1:11" x14ac:dyDescent="0.45">
      <c r="B15" s="707">
        <f>MAX($D$9,-0.25)</f>
        <v>-0.25</v>
      </c>
      <c r="C15" s="708">
        <v>-0.20100000000000001</v>
      </c>
      <c r="D15" s="756"/>
      <c r="E15" s="709">
        <f>IFERROR(D15/$D$27,0)</f>
        <v>0</v>
      </c>
      <c r="G15" s="1021"/>
      <c r="H15" s="1021"/>
      <c r="I15" s="1021"/>
      <c r="J15" s="1021"/>
      <c r="K15" s="1021"/>
    </row>
    <row r="16" spans="1:11" x14ac:dyDescent="0.45">
      <c r="B16" s="945">
        <f>MAX($D$9,-0.2)</f>
        <v>-0.2</v>
      </c>
      <c r="C16" s="824">
        <v>-0.151</v>
      </c>
      <c r="D16" s="759"/>
      <c r="E16" s="712">
        <f t="shared" ref="E16:E26" si="0">IFERROR(D16/$D$27,0)</f>
        <v>0</v>
      </c>
      <c r="G16" s="1021"/>
      <c r="H16" s="1021"/>
      <c r="I16" s="1021"/>
      <c r="J16" s="1021"/>
      <c r="K16" s="1021"/>
    </row>
    <row r="17" spans="1:11" x14ac:dyDescent="0.45">
      <c r="B17" s="707">
        <f>MAX($D$9,-0.15)</f>
        <v>-0.15</v>
      </c>
      <c r="C17" s="708">
        <v>-0.10100000000000001</v>
      </c>
      <c r="D17" s="756"/>
      <c r="E17" s="709">
        <f t="shared" si="0"/>
        <v>0</v>
      </c>
      <c r="G17" s="1021"/>
      <c r="H17" s="1021"/>
      <c r="I17" s="1021"/>
      <c r="J17" s="1021"/>
      <c r="K17" s="1021"/>
    </row>
    <row r="18" spans="1:11" x14ac:dyDescent="0.45">
      <c r="B18" s="945">
        <f>MAX($D$9,-0.1)</f>
        <v>-0.1</v>
      </c>
      <c r="C18" s="824">
        <v>-5.0999999999999997E-2</v>
      </c>
      <c r="D18" s="759"/>
      <c r="E18" s="712">
        <f t="shared" si="0"/>
        <v>0</v>
      </c>
      <c r="G18" s="1021"/>
      <c r="H18" s="1021"/>
      <c r="I18" s="1021"/>
      <c r="J18" s="1021"/>
      <c r="K18" s="1021"/>
    </row>
    <row r="19" spans="1:11" x14ac:dyDescent="0.45">
      <c r="B19" s="707">
        <f>MAX($D$9,-0.05)</f>
        <v>-0.05</v>
      </c>
      <c r="C19" s="708">
        <v>-1E-3</v>
      </c>
      <c r="D19" s="756"/>
      <c r="E19" s="709">
        <f t="shared" si="0"/>
        <v>0</v>
      </c>
      <c r="G19" s="1021"/>
      <c r="H19" s="1021"/>
      <c r="I19" s="1021"/>
      <c r="J19" s="1021"/>
      <c r="K19" s="1021"/>
    </row>
    <row r="20" spans="1:11" x14ac:dyDescent="0.45">
      <c r="B20" s="1499" t="s">
        <v>697</v>
      </c>
      <c r="C20" s="1500"/>
      <c r="D20" s="759"/>
      <c r="E20" s="712">
        <f t="shared" si="0"/>
        <v>0</v>
      </c>
      <c r="G20" s="1021"/>
      <c r="H20" s="1021"/>
      <c r="I20" s="1021"/>
      <c r="J20" s="1021"/>
      <c r="K20" s="1021"/>
    </row>
    <row r="21" spans="1:11" x14ac:dyDescent="0.45">
      <c r="B21" s="707">
        <v>1E-3</v>
      </c>
      <c r="C21" s="708">
        <f>MIN($D$10,0.05)</f>
        <v>0.05</v>
      </c>
      <c r="D21" s="756"/>
      <c r="E21" s="709">
        <f t="shared" si="0"/>
        <v>0</v>
      </c>
      <c r="G21" s="1021"/>
      <c r="H21" s="1021"/>
      <c r="I21" s="1021"/>
      <c r="J21" s="1021"/>
      <c r="K21" s="1021"/>
    </row>
    <row r="22" spans="1:11" x14ac:dyDescent="0.45">
      <c r="B22" s="945">
        <v>5.0999999999999997E-2</v>
      </c>
      <c r="C22" s="824">
        <f>MIN($D$10,0.1)</f>
        <v>0.1</v>
      </c>
      <c r="D22" s="759"/>
      <c r="E22" s="712">
        <f t="shared" si="0"/>
        <v>0</v>
      </c>
      <c r="G22" s="1021"/>
      <c r="H22" s="1021"/>
      <c r="I22" s="1021"/>
      <c r="J22" s="1021"/>
      <c r="K22" s="1021"/>
    </row>
    <row r="23" spans="1:11" x14ac:dyDescent="0.45">
      <c r="B23" s="707">
        <v>0.10100000000000001</v>
      </c>
      <c r="C23" s="708">
        <f>MIN($D$10,0.15)</f>
        <v>0.15</v>
      </c>
      <c r="D23" s="756"/>
      <c r="E23" s="709">
        <f t="shared" si="0"/>
        <v>0</v>
      </c>
    </row>
    <row r="24" spans="1:11" x14ac:dyDescent="0.45">
      <c r="B24" s="945">
        <v>0.151</v>
      </c>
      <c r="C24" s="824">
        <f>MIN($D$10,0.2)</f>
        <v>0.2</v>
      </c>
      <c r="D24" s="759"/>
      <c r="E24" s="712">
        <f t="shared" si="0"/>
        <v>0</v>
      </c>
    </row>
    <row r="25" spans="1:11" x14ac:dyDescent="0.45">
      <c r="B25" s="707">
        <v>0.20100000000000001</v>
      </c>
      <c r="C25" s="708">
        <f>MIN($D$10,0.25)</f>
        <v>0.25</v>
      </c>
      <c r="D25" s="756"/>
      <c r="E25" s="709">
        <f t="shared" si="0"/>
        <v>0</v>
      </c>
    </row>
    <row r="26" spans="1:11" x14ac:dyDescent="0.45">
      <c r="B26" s="946">
        <v>0.251</v>
      </c>
      <c r="C26" s="826">
        <f>IF(D10="",0.3,D10)</f>
        <v>0.3</v>
      </c>
      <c r="D26" s="947"/>
      <c r="E26" s="712">
        <f t="shared" si="0"/>
        <v>0</v>
      </c>
    </row>
    <row r="27" spans="1:11" x14ac:dyDescent="0.45">
      <c r="B27" s="1501" t="s">
        <v>293</v>
      </c>
      <c r="C27" s="1502"/>
      <c r="D27" s="948">
        <f>SUM(D14:D26)</f>
        <v>0</v>
      </c>
      <c r="E27" s="878">
        <f>SUM(E14:E26)</f>
        <v>0</v>
      </c>
    </row>
    <row r="28" spans="1:11" x14ac:dyDescent="0.45">
      <c r="B28" s="568"/>
      <c r="C28" s="568"/>
      <c r="D28" s="1072"/>
      <c r="E28" s="568"/>
      <c r="G28" s="1082"/>
      <c r="H28" s="1082"/>
    </row>
    <row r="29" spans="1:11" ht="19.2" customHeight="1" x14ac:dyDescent="0.45">
      <c r="A29" s="1073">
        <v>7</v>
      </c>
      <c r="B29" s="1503" t="s">
        <v>698</v>
      </c>
      <c r="C29" s="1503"/>
      <c r="D29" s="1503"/>
      <c r="E29" s="1503"/>
      <c r="F29" s="1503"/>
      <c r="G29" s="1503"/>
      <c r="H29" s="1082"/>
    </row>
    <row r="30" spans="1:11" x14ac:dyDescent="0.45">
      <c r="B30" s="1503"/>
      <c r="C30" s="1503"/>
      <c r="D30" s="1503"/>
      <c r="E30" s="1503"/>
      <c r="F30" s="1503"/>
      <c r="G30" s="1503"/>
      <c r="H30" s="1082"/>
    </row>
    <row r="31" spans="1:11" x14ac:dyDescent="0.45">
      <c r="B31" s="1504"/>
      <c r="C31" s="1504"/>
      <c r="D31" s="1504"/>
      <c r="E31" s="1504"/>
      <c r="F31" s="1504"/>
      <c r="G31" s="1504"/>
      <c r="H31" s="1082"/>
    </row>
    <row r="32" spans="1:11" x14ac:dyDescent="0.45">
      <c r="B32" s="1504"/>
      <c r="C32" s="1504"/>
      <c r="D32" s="1504"/>
      <c r="E32" s="1504"/>
      <c r="F32" s="1504"/>
      <c r="G32" s="1504"/>
      <c r="H32" s="1082"/>
    </row>
    <row r="33" spans="2:8" x14ac:dyDescent="0.45">
      <c r="B33" s="1504"/>
      <c r="C33" s="1504"/>
      <c r="D33" s="1504"/>
      <c r="E33" s="1504"/>
      <c r="F33" s="1504"/>
      <c r="G33" s="1504"/>
      <c r="H33" s="1082"/>
    </row>
    <row r="55" spans="1:8" x14ac:dyDescent="0.45">
      <c r="B55" s="274" t="s">
        <v>699</v>
      </c>
    </row>
    <row r="56" spans="1:8" ht="57.6" customHeight="1" x14ac:dyDescent="0.45">
      <c r="B56" s="1134" t="s">
        <v>700</v>
      </c>
      <c r="C56" s="1134"/>
      <c r="D56" s="1134"/>
      <c r="E56" s="1134"/>
      <c r="F56" s="1134"/>
      <c r="G56" s="1134"/>
      <c r="H56" s="1134"/>
    </row>
    <row r="57" spans="1:8" x14ac:dyDescent="0.45">
      <c r="A57" s="307"/>
      <c r="B57" s="370"/>
    </row>
    <row r="58" spans="1:8" x14ac:dyDescent="0.45">
      <c r="A58" s="307">
        <v>-3</v>
      </c>
      <c r="B58" s="257" t="s">
        <v>701</v>
      </c>
    </row>
    <row r="59" spans="1:8" x14ac:dyDescent="0.45">
      <c r="A59" s="307">
        <v>-4</v>
      </c>
      <c r="B59" s="257" t="s">
        <v>701</v>
      </c>
    </row>
    <row r="60" spans="1:8" x14ac:dyDescent="0.45">
      <c r="A60" s="307">
        <v>-6</v>
      </c>
      <c r="B60" s="372" t="s">
        <v>702</v>
      </c>
    </row>
    <row r="61" spans="1:8" x14ac:dyDescent="0.45">
      <c r="A61" s="370" t="s">
        <v>703</v>
      </c>
    </row>
    <row r="98" spans="3:3" x14ac:dyDescent="0.45">
      <c r="C98" s="349"/>
    </row>
    <row r="99" spans="3:3" x14ac:dyDescent="0.45">
      <c r="C99" s="349"/>
    </row>
    <row r="100" spans="3:3" x14ac:dyDescent="0.45">
      <c r="C100" s="349"/>
    </row>
    <row r="101" spans="3:3" x14ac:dyDescent="0.45">
      <c r="C101" s="349"/>
    </row>
    <row r="102" spans="3:3" x14ac:dyDescent="0.45">
      <c r="C102" s="349"/>
    </row>
    <row r="103" spans="3:3" x14ac:dyDescent="0.45">
      <c r="C103" s="349"/>
    </row>
    <row r="104" spans="3:3" x14ac:dyDescent="0.45">
      <c r="C104" s="349"/>
    </row>
    <row r="105" spans="3:3" x14ac:dyDescent="0.45">
      <c r="C105" s="349"/>
    </row>
    <row r="106" spans="3:3" x14ac:dyDescent="0.45">
      <c r="C106" s="349"/>
    </row>
    <row r="107" spans="3:3" x14ac:dyDescent="0.45">
      <c r="C107" s="349"/>
    </row>
    <row r="108" spans="3:3" x14ac:dyDescent="0.45">
      <c r="C108" s="349"/>
    </row>
    <row r="109" spans="3:3" x14ac:dyDescent="0.45">
      <c r="C109" s="349"/>
    </row>
    <row r="110" spans="3:3" x14ac:dyDescent="0.45">
      <c r="C110" s="349"/>
    </row>
  </sheetData>
  <sheetProtection sheet="1" objects="1" scenarios="1"/>
  <sortState xmlns:xlrd2="http://schemas.microsoft.com/office/spreadsheetml/2017/richdata2" ref="B12:E24">
    <sortCondition ref="B12:B24"/>
  </sortState>
  <mergeCells count="8">
    <mergeCell ref="A5:H5"/>
    <mergeCell ref="B7:H7"/>
    <mergeCell ref="B56:H56"/>
    <mergeCell ref="B13:C13"/>
    <mergeCell ref="B20:C20"/>
    <mergeCell ref="B27:C27"/>
    <mergeCell ref="B29:G30"/>
    <mergeCell ref="B31:G33"/>
  </mergeCells>
  <conditionalFormatting sqref="B29">
    <cfRule type="expression" dxfId="6" priority="2">
      <formula>OR($D$9&lt;-0.25,$D$10&gt;0.25)</formula>
    </cfRule>
  </conditionalFormatting>
  <conditionalFormatting sqref="B14:E19">
    <cfRule type="expression" dxfId="5" priority="5">
      <formula>$B14&gt;$C14</formula>
    </cfRule>
  </conditionalFormatting>
  <conditionalFormatting sqref="B21:E26">
    <cfRule type="expression" dxfId="4" priority="4">
      <formula>$B21&gt;$C21</formula>
    </cfRule>
  </conditionalFormatting>
  <conditionalFormatting sqref="D9:D10">
    <cfRule type="expression" dxfId="3" priority="7">
      <formula>$D9=""</formula>
    </cfRule>
  </conditionalFormatting>
  <conditionalFormatting sqref="D14:D26">
    <cfRule type="expression" dxfId="2" priority="6">
      <formula>$D$20=""</formula>
    </cfRule>
  </conditionalFormatting>
  <conditionalFormatting sqref="G28:H28 H29:H33">
    <cfRule type="expression" dxfId="1" priority="194">
      <formula>AND(#REF!="",OR($D$9&lt;-0.25,$D$10&gt;0.25))</formula>
    </cfRule>
  </conditionalFormatting>
  <printOptions horizontalCentered="1"/>
  <pageMargins left="0.25" right="0.25" top="0.75" bottom="0.75" header="0.3" footer="0.3"/>
  <pageSetup fitToWidth="0" fitToHeight="0" orientation="portrait" r:id="rId1"/>
  <rowBreaks count="1" manualBreakCount="1">
    <brk id="34" max="7"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124B3-E125-4436-80FF-E7DD812F42FA}">
  <sheetPr codeName="Sheet30"/>
  <dimension ref="A1:E519"/>
  <sheetViews>
    <sheetView showGridLines="0" zoomScaleNormal="100" workbookViewId="0"/>
  </sheetViews>
  <sheetFormatPr defaultColWidth="9.109375" defaultRowHeight="19.2" x14ac:dyDescent="0.45"/>
  <cols>
    <col min="1" max="1" width="20.6640625" style="1016" customWidth="1"/>
    <col min="2" max="2" width="27.6640625" style="1016" customWidth="1"/>
    <col min="3" max="3" width="34.88671875" style="1015" customWidth="1"/>
    <col min="4" max="4" width="17.33203125" style="949" customWidth="1"/>
    <col min="5" max="5" width="14.109375" style="949" customWidth="1"/>
    <col min="6" max="16384" width="9.109375" style="949"/>
  </cols>
  <sheetData>
    <row r="1" spans="1:5" x14ac:dyDescent="0.45">
      <c r="A1" s="1055" t="str">
        <f>'General Information'!$A$1</f>
        <v>Texas Department of Insurance</v>
      </c>
      <c r="B1" s="949"/>
      <c r="C1" s="949"/>
    </row>
    <row r="2" spans="1:5" x14ac:dyDescent="0.45">
      <c r="A2" s="1055" t="str">
        <f>'General Information'!$A$2</f>
        <v>Property and Casualty Rate Filing Exhibits</v>
      </c>
      <c r="B2" s="949"/>
      <c r="C2" s="160" t="s">
        <v>97</v>
      </c>
      <c r="D2" s="1071" t="str">
        <f>'General Information'!$E$2</f>
        <v>Fill out Gen Info</v>
      </c>
    </row>
    <row r="3" spans="1:5" x14ac:dyDescent="0.45">
      <c r="A3" s="1055" t="str">
        <f>'General Information'!$A$3</f>
        <v>Rate Filing Template (2025 Edition)</v>
      </c>
      <c r="B3" s="949"/>
      <c r="C3" s="160" t="s">
        <v>98</v>
      </c>
      <c r="D3" s="1071" t="str">
        <f>'General Information'!$E$3</f>
        <v>Fill out Gen Info</v>
      </c>
    </row>
    <row r="4" spans="1:5" x14ac:dyDescent="0.45">
      <c r="A4" s="949"/>
      <c r="B4" s="949"/>
      <c r="C4" s="949"/>
    </row>
    <row r="5" spans="1:5" ht="19.2" customHeight="1" x14ac:dyDescent="0.45">
      <c r="A5" s="1505" t="s">
        <v>704</v>
      </c>
      <c r="B5" s="1506"/>
      <c r="C5" s="1506"/>
      <c r="D5" s="1506"/>
    </row>
    <row r="6" spans="1:5" x14ac:dyDescent="0.45">
      <c r="A6" s="949"/>
      <c r="B6" s="949"/>
      <c r="C6" s="949"/>
    </row>
    <row r="7" spans="1:5" x14ac:dyDescent="0.45">
      <c r="A7" s="1498" t="s">
        <v>705</v>
      </c>
      <c r="B7" s="1498"/>
      <c r="C7" s="1498"/>
      <c r="D7" s="1498"/>
      <c r="E7" s="289"/>
    </row>
    <row r="8" spans="1:5" x14ac:dyDescent="0.45">
      <c r="A8" s="1498"/>
      <c r="B8" s="1498"/>
      <c r="C8" s="1498"/>
      <c r="D8" s="1498"/>
      <c r="E8" s="289"/>
    </row>
    <row r="9" spans="1:5" x14ac:dyDescent="0.45">
      <c r="A9" s="949"/>
      <c r="B9" s="949"/>
      <c r="C9" s="949"/>
      <c r="E9" s="289"/>
    </row>
    <row r="10" spans="1:5" ht="38.4" x14ac:dyDescent="0.45">
      <c r="A10" s="950" t="s">
        <v>346</v>
      </c>
      <c r="B10" s="951" t="s">
        <v>706</v>
      </c>
      <c r="C10" s="952" t="s">
        <v>707</v>
      </c>
      <c r="D10" s="953" t="s">
        <v>708</v>
      </c>
    </row>
    <row r="11" spans="1:5" x14ac:dyDescent="0.45">
      <c r="A11" s="954">
        <v>1</v>
      </c>
      <c r="B11" s="955">
        <v>1</v>
      </c>
      <c r="C11" s="956" t="s">
        <v>709</v>
      </c>
      <c r="D11" s="957"/>
    </row>
    <row r="12" spans="1:5" x14ac:dyDescent="0.45">
      <c r="A12" s="958">
        <v>2</v>
      </c>
      <c r="B12" s="959">
        <v>8</v>
      </c>
      <c r="C12" s="960" t="s">
        <v>710</v>
      </c>
      <c r="D12" s="961"/>
    </row>
    <row r="13" spans="1:5" x14ac:dyDescent="0.45">
      <c r="A13" s="962">
        <v>3</v>
      </c>
      <c r="B13" s="963">
        <v>9</v>
      </c>
      <c r="C13" s="964" t="s">
        <v>711</v>
      </c>
      <c r="D13" s="965"/>
    </row>
    <row r="14" spans="1:5" x14ac:dyDescent="0.45">
      <c r="A14" s="966">
        <v>4</v>
      </c>
      <c r="B14" s="967">
        <v>10</v>
      </c>
      <c r="C14" s="968" t="s">
        <v>712</v>
      </c>
      <c r="D14" s="969"/>
    </row>
    <row r="15" spans="1:5" x14ac:dyDescent="0.45">
      <c r="A15" s="970">
        <v>5</v>
      </c>
      <c r="B15" s="971">
        <v>10</v>
      </c>
      <c r="C15" s="972" t="s">
        <v>713</v>
      </c>
      <c r="D15" s="973"/>
    </row>
    <row r="16" spans="1:5" x14ac:dyDescent="0.45">
      <c r="A16" s="970">
        <v>6</v>
      </c>
      <c r="B16" s="971">
        <v>10</v>
      </c>
      <c r="C16" s="972" t="s">
        <v>714</v>
      </c>
      <c r="D16" s="973"/>
    </row>
    <row r="17" spans="1:4" x14ac:dyDescent="0.45">
      <c r="A17" s="970">
        <v>7</v>
      </c>
      <c r="B17" s="971">
        <v>10</v>
      </c>
      <c r="C17" s="972" t="s">
        <v>715</v>
      </c>
      <c r="D17" s="973"/>
    </row>
    <row r="18" spans="1:4" x14ac:dyDescent="0.45">
      <c r="A18" s="970">
        <v>8</v>
      </c>
      <c r="B18" s="971">
        <v>10</v>
      </c>
      <c r="C18" s="972" t="s">
        <v>716</v>
      </c>
      <c r="D18" s="973"/>
    </row>
    <row r="19" spans="1:4" x14ac:dyDescent="0.45">
      <c r="A19" s="970">
        <v>9</v>
      </c>
      <c r="B19" s="971">
        <v>10</v>
      </c>
      <c r="C19" s="972" t="s">
        <v>717</v>
      </c>
      <c r="D19" s="973"/>
    </row>
    <row r="20" spans="1:4" x14ac:dyDescent="0.45">
      <c r="A20" s="970">
        <v>10</v>
      </c>
      <c r="B20" s="971">
        <v>10</v>
      </c>
      <c r="C20" s="972" t="s">
        <v>718</v>
      </c>
      <c r="D20" s="973"/>
    </row>
    <row r="21" spans="1:4" x14ac:dyDescent="0.45">
      <c r="A21" s="970">
        <v>11</v>
      </c>
      <c r="B21" s="971">
        <v>10</v>
      </c>
      <c r="C21" s="972" t="s">
        <v>719</v>
      </c>
      <c r="D21" s="973"/>
    </row>
    <row r="22" spans="1:4" x14ac:dyDescent="0.45">
      <c r="A22" s="970">
        <v>12</v>
      </c>
      <c r="B22" s="971">
        <v>10</v>
      </c>
      <c r="C22" s="972" t="s">
        <v>720</v>
      </c>
      <c r="D22" s="973"/>
    </row>
    <row r="23" spans="1:4" x14ac:dyDescent="0.45">
      <c r="A23" s="970">
        <v>13</v>
      </c>
      <c r="B23" s="971">
        <v>10</v>
      </c>
      <c r="C23" s="972" t="s">
        <v>721</v>
      </c>
      <c r="D23" s="973"/>
    </row>
    <row r="24" spans="1:4" x14ac:dyDescent="0.45">
      <c r="A24" s="970">
        <v>14</v>
      </c>
      <c r="B24" s="971">
        <v>10</v>
      </c>
      <c r="C24" s="972" t="s">
        <v>722</v>
      </c>
      <c r="D24" s="973"/>
    </row>
    <row r="25" spans="1:4" x14ac:dyDescent="0.45">
      <c r="A25" s="974">
        <v>15</v>
      </c>
      <c r="B25" s="975">
        <v>10</v>
      </c>
      <c r="C25" s="976" t="s">
        <v>723</v>
      </c>
      <c r="D25" s="973"/>
    </row>
    <row r="26" spans="1:4" x14ac:dyDescent="0.45">
      <c r="A26" s="966">
        <v>16</v>
      </c>
      <c r="B26" s="967">
        <v>11</v>
      </c>
      <c r="C26" s="968" t="s">
        <v>724</v>
      </c>
      <c r="D26" s="969"/>
    </row>
    <row r="27" spans="1:4" x14ac:dyDescent="0.45">
      <c r="A27" s="970">
        <v>17</v>
      </c>
      <c r="B27" s="971">
        <v>11</v>
      </c>
      <c r="C27" s="972" t="s">
        <v>725</v>
      </c>
      <c r="D27" s="973"/>
    </row>
    <row r="28" spans="1:4" x14ac:dyDescent="0.45">
      <c r="A28" s="970">
        <v>18</v>
      </c>
      <c r="B28" s="971">
        <v>11</v>
      </c>
      <c r="C28" s="972" t="s">
        <v>726</v>
      </c>
      <c r="D28" s="973"/>
    </row>
    <row r="29" spans="1:4" x14ac:dyDescent="0.45">
      <c r="A29" s="970">
        <v>19</v>
      </c>
      <c r="B29" s="971">
        <v>11</v>
      </c>
      <c r="C29" s="972" t="s">
        <v>727</v>
      </c>
      <c r="D29" s="973"/>
    </row>
    <row r="30" spans="1:4" x14ac:dyDescent="0.45">
      <c r="A30" s="970">
        <v>20</v>
      </c>
      <c r="B30" s="971">
        <v>11</v>
      </c>
      <c r="C30" s="972" t="s">
        <v>728</v>
      </c>
      <c r="D30" s="973"/>
    </row>
    <row r="31" spans="1:4" x14ac:dyDescent="0.45">
      <c r="A31" s="970">
        <v>21</v>
      </c>
      <c r="B31" s="971">
        <v>11</v>
      </c>
      <c r="C31" s="972" t="s">
        <v>729</v>
      </c>
      <c r="D31" s="973"/>
    </row>
    <row r="32" spans="1:4" x14ac:dyDescent="0.45">
      <c r="A32" s="970">
        <v>22</v>
      </c>
      <c r="B32" s="971">
        <v>11</v>
      </c>
      <c r="C32" s="972" t="s">
        <v>730</v>
      </c>
      <c r="D32" s="973"/>
    </row>
    <row r="33" spans="1:4" x14ac:dyDescent="0.45">
      <c r="A33" s="970">
        <v>23</v>
      </c>
      <c r="B33" s="971">
        <v>11</v>
      </c>
      <c r="C33" s="972" t="s">
        <v>731</v>
      </c>
      <c r="D33" s="973"/>
    </row>
    <row r="34" spans="1:4" x14ac:dyDescent="0.45">
      <c r="A34" s="970">
        <v>24</v>
      </c>
      <c r="B34" s="971">
        <v>11</v>
      </c>
      <c r="C34" s="972" t="s">
        <v>732</v>
      </c>
      <c r="D34" s="973"/>
    </row>
    <row r="35" spans="1:4" x14ac:dyDescent="0.45">
      <c r="A35" s="970">
        <v>25</v>
      </c>
      <c r="B35" s="971">
        <v>11</v>
      </c>
      <c r="C35" s="972" t="s">
        <v>733</v>
      </c>
      <c r="D35" s="973"/>
    </row>
    <row r="36" spans="1:4" x14ac:dyDescent="0.45">
      <c r="A36" s="970">
        <v>26</v>
      </c>
      <c r="B36" s="971">
        <v>11</v>
      </c>
      <c r="C36" s="972" t="s">
        <v>734</v>
      </c>
      <c r="D36" s="973"/>
    </row>
    <row r="37" spans="1:4" x14ac:dyDescent="0.45">
      <c r="A37" s="970">
        <v>27</v>
      </c>
      <c r="B37" s="971">
        <v>11</v>
      </c>
      <c r="C37" s="972" t="s">
        <v>735</v>
      </c>
      <c r="D37" s="973"/>
    </row>
    <row r="38" spans="1:4" x14ac:dyDescent="0.45">
      <c r="A38" s="974">
        <v>28</v>
      </c>
      <c r="B38" s="975">
        <v>11</v>
      </c>
      <c r="C38" s="976" t="s">
        <v>736</v>
      </c>
      <c r="D38" s="977"/>
    </row>
    <row r="39" spans="1:4" x14ac:dyDescent="0.45">
      <c r="A39" s="978">
        <v>29</v>
      </c>
      <c r="B39" s="979">
        <v>2</v>
      </c>
      <c r="C39" s="980" t="s">
        <v>737</v>
      </c>
      <c r="D39" s="981"/>
    </row>
    <row r="40" spans="1:4" x14ac:dyDescent="0.45">
      <c r="A40" s="978">
        <v>30</v>
      </c>
      <c r="B40" s="979">
        <v>3</v>
      </c>
      <c r="C40" s="980" t="s">
        <v>738</v>
      </c>
      <c r="D40" s="981"/>
    </row>
    <row r="41" spans="1:4" x14ac:dyDescent="0.45">
      <c r="A41" s="982">
        <v>31</v>
      </c>
      <c r="B41" s="983">
        <v>4</v>
      </c>
      <c r="C41" s="984" t="s">
        <v>739</v>
      </c>
      <c r="D41" s="985"/>
    </row>
    <row r="42" spans="1:4" x14ac:dyDescent="0.45">
      <c r="A42" s="986">
        <v>32</v>
      </c>
      <c r="B42" s="987">
        <v>4</v>
      </c>
      <c r="C42" s="988" t="s">
        <v>740</v>
      </c>
      <c r="D42" s="989"/>
    </row>
    <row r="43" spans="1:4" x14ac:dyDescent="0.45">
      <c r="A43" s="990">
        <v>33</v>
      </c>
      <c r="B43" s="991">
        <v>4</v>
      </c>
      <c r="C43" s="992" t="s">
        <v>741</v>
      </c>
      <c r="D43" s="993"/>
    </row>
    <row r="44" spans="1:4" x14ac:dyDescent="0.45">
      <c r="A44" s="994">
        <v>34</v>
      </c>
      <c r="B44" s="995">
        <v>5</v>
      </c>
      <c r="C44" s="996" t="s">
        <v>742</v>
      </c>
      <c r="D44" s="997"/>
    </row>
    <row r="45" spans="1:4" x14ac:dyDescent="0.45">
      <c r="A45" s="998">
        <v>35</v>
      </c>
      <c r="B45" s="999">
        <v>6</v>
      </c>
      <c r="C45" s="1000" t="s">
        <v>743</v>
      </c>
      <c r="D45" s="1001"/>
    </row>
    <row r="46" spans="1:4" x14ac:dyDescent="0.45">
      <c r="A46" s="1002">
        <v>36</v>
      </c>
      <c r="B46" s="1003">
        <v>7</v>
      </c>
      <c r="C46" s="996" t="s">
        <v>744</v>
      </c>
      <c r="D46" s="997"/>
    </row>
    <row r="47" spans="1:4" x14ac:dyDescent="0.45">
      <c r="A47" s="982">
        <v>37</v>
      </c>
      <c r="B47" s="983">
        <v>12</v>
      </c>
      <c r="C47" s="984" t="s">
        <v>745</v>
      </c>
      <c r="D47" s="985"/>
    </row>
    <row r="48" spans="1:4" x14ac:dyDescent="0.45">
      <c r="A48" s="986">
        <v>38</v>
      </c>
      <c r="B48" s="987">
        <v>12</v>
      </c>
      <c r="C48" s="988" t="s">
        <v>746</v>
      </c>
      <c r="D48" s="989"/>
    </row>
    <row r="49" spans="1:4" x14ac:dyDescent="0.45">
      <c r="A49" s="986">
        <v>39</v>
      </c>
      <c r="B49" s="987">
        <v>12</v>
      </c>
      <c r="C49" s="988" t="s">
        <v>747</v>
      </c>
      <c r="D49" s="989"/>
    </row>
    <row r="50" spans="1:4" x14ac:dyDescent="0.45">
      <c r="A50" s="986">
        <v>40</v>
      </c>
      <c r="B50" s="987">
        <v>12</v>
      </c>
      <c r="C50" s="988" t="s">
        <v>748</v>
      </c>
      <c r="D50" s="989"/>
    </row>
    <row r="51" spans="1:4" x14ac:dyDescent="0.45">
      <c r="A51" s="986">
        <v>41</v>
      </c>
      <c r="B51" s="987">
        <v>12</v>
      </c>
      <c r="C51" s="988" t="s">
        <v>749</v>
      </c>
      <c r="D51" s="989"/>
    </row>
    <row r="52" spans="1:4" x14ac:dyDescent="0.45">
      <c r="A52" s="986">
        <v>42</v>
      </c>
      <c r="B52" s="987">
        <v>12</v>
      </c>
      <c r="C52" s="988" t="s">
        <v>750</v>
      </c>
      <c r="D52" s="989"/>
    </row>
    <row r="53" spans="1:4" x14ac:dyDescent="0.45">
      <c r="A53" s="986">
        <v>43</v>
      </c>
      <c r="B53" s="987">
        <v>12</v>
      </c>
      <c r="C53" s="988" t="s">
        <v>751</v>
      </c>
      <c r="D53" s="989"/>
    </row>
    <row r="54" spans="1:4" x14ac:dyDescent="0.45">
      <c r="A54" s="986">
        <v>44</v>
      </c>
      <c r="B54" s="987">
        <v>12</v>
      </c>
      <c r="C54" s="988" t="s">
        <v>752</v>
      </c>
      <c r="D54" s="989"/>
    </row>
    <row r="55" spans="1:4" x14ac:dyDescent="0.45">
      <c r="A55" s="986">
        <v>45</v>
      </c>
      <c r="B55" s="987">
        <v>12</v>
      </c>
      <c r="C55" s="988" t="s">
        <v>753</v>
      </c>
      <c r="D55" s="989"/>
    </row>
    <row r="56" spans="1:4" x14ac:dyDescent="0.45">
      <c r="A56" s="986">
        <v>46</v>
      </c>
      <c r="B56" s="987">
        <v>12</v>
      </c>
      <c r="C56" s="988" t="s">
        <v>754</v>
      </c>
      <c r="D56" s="989"/>
    </row>
    <row r="57" spans="1:4" x14ac:dyDescent="0.45">
      <c r="A57" s="986">
        <v>47</v>
      </c>
      <c r="B57" s="987">
        <v>12</v>
      </c>
      <c r="C57" s="988" t="s">
        <v>755</v>
      </c>
      <c r="D57" s="989"/>
    </row>
    <row r="58" spans="1:4" x14ac:dyDescent="0.45">
      <c r="A58" s="986">
        <v>48</v>
      </c>
      <c r="B58" s="987">
        <v>12</v>
      </c>
      <c r="C58" s="988" t="s">
        <v>756</v>
      </c>
      <c r="D58" s="989"/>
    </row>
    <row r="59" spans="1:4" x14ac:dyDescent="0.45">
      <c r="A59" s="986">
        <v>49</v>
      </c>
      <c r="B59" s="987">
        <v>12</v>
      </c>
      <c r="C59" s="988" t="s">
        <v>757</v>
      </c>
      <c r="D59" s="989"/>
    </row>
    <row r="60" spans="1:4" x14ac:dyDescent="0.45">
      <c r="A60" s="986">
        <v>50</v>
      </c>
      <c r="B60" s="987">
        <v>12</v>
      </c>
      <c r="C60" s="988" t="s">
        <v>758</v>
      </c>
      <c r="D60" s="989"/>
    </row>
    <row r="61" spans="1:4" x14ac:dyDescent="0.45">
      <c r="A61" s="986">
        <v>51</v>
      </c>
      <c r="B61" s="987">
        <v>12</v>
      </c>
      <c r="C61" s="988" t="s">
        <v>759</v>
      </c>
      <c r="D61" s="989"/>
    </row>
    <row r="62" spans="1:4" x14ac:dyDescent="0.45">
      <c r="A62" s="986">
        <v>52</v>
      </c>
      <c r="B62" s="987">
        <v>12</v>
      </c>
      <c r="C62" s="988" t="s">
        <v>760</v>
      </c>
      <c r="D62" s="989"/>
    </row>
    <row r="63" spans="1:4" x14ac:dyDescent="0.45">
      <c r="A63" s="986">
        <v>53</v>
      </c>
      <c r="B63" s="987">
        <v>12</v>
      </c>
      <c r="C63" s="988" t="s">
        <v>761</v>
      </c>
      <c r="D63" s="989"/>
    </row>
    <row r="64" spans="1:4" x14ac:dyDescent="0.45">
      <c r="A64" s="986">
        <v>54</v>
      </c>
      <c r="B64" s="987">
        <v>12</v>
      </c>
      <c r="C64" s="988" t="s">
        <v>762</v>
      </c>
      <c r="D64" s="989"/>
    </row>
    <row r="65" spans="1:4" x14ac:dyDescent="0.45">
      <c r="A65" s="986">
        <v>55</v>
      </c>
      <c r="B65" s="987">
        <v>12</v>
      </c>
      <c r="C65" s="988" t="s">
        <v>763</v>
      </c>
      <c r="D65" s="989"/>
    </row>
    <row r="66" spans="1:4" x14ac:dyDescent="0.45">
      <c r="A66" s="990">
        <v>56</v>
      </c>
      <c r="B66" s="991">
        <v>12</v>
      </c>
      <c r="C66" s="992" t="s">
        <v>764</v>
      </c>
      <c r="D66" s="989"/>
    </row>
    <row r="67" spans="1:4" x14ac:dyDescent="0.45">
      <c r="A67" s="982">
        <v>57</v>
      </c>
      <c r="B67" s="983">
        <v>13</v>
      </c>
      <c r="C67" s="984" t="s">
        <v>765</v>
      </c>
      <c r="D67" s="985"/>
    </row>
    <row r="68" spans="1:4" x14ac:dyDescent="0.45">
      <c r="A68" s="986">
        <v>58</v>
      </c>
      <c r="B68" s="987">
        <v>13</v>
      </c>
      <c r="C68" s="988" t="s">
        <v>766</v>
      </c>
      <c r="D68" s="989"/>
    </row>
    <row r="69" spans="1:4" x14ac:dyDescent="0.45">
      <c r="A69" s="986">
        <v>59</v>
      </c>
      <c r="B69" s="987">
        <v>13</v>
      </c>
      <c r="C69" s="988" t="s">
        <v>767</v>
      </c>
      <c r="D69" s="989"/>
    </row>
    <row r="70" spans="1:4" x14ac:dyDescent="0.45">
      <c r="A70" s="986">
        <v>60</v>
      </c>
      <c r="B70" s="987">
        <v>13</v>
      </c>
      <c r="C70" s="988" t="s">
        <v>768</v>
      </c>
      <c r="D70" s="989"/>
    </row>
    <row r="71" spans="1:4" x14ac:dyDescent="0.45">
      <c r="A71" s="986">
        <v>61</v>
      </c>
      <c r="B71" s="987">
        <v>13</v>
      </c>
      <c r="C71" s="988" t="s">
        <v>769</v>
      </c>
      <c r="D71" s="989"/>
    </row>
    <row r="72" spans="1:4" x14ac:dyDescent="0.45">
      <c r="A72" s="986">
        <v>62</v>
      </c>
      <c r="B72" s="987">
        <v>13</v>
      </c>
      <c r="C72" s="988" t="s">
        <v>770</v>
      </c>
      <c r="D72" s="989"/>
    </row>
    <row r="73" spans="1:4" x14ac:dyDescent="0.45">
      <c r="A73" s="986">
        <v>63</v>
      </c>
      <c r="B73" s="987">
        <v>13</v>
      </c>
      <c r="C73" s="988" t="s">
        <v>771</v>
      </c>
      <c r="D73" s="989"/>
    </row>
    <row r="74" spans="1:4" x14ac:dyDescent="0.45">
      <c r="A74" s="986">
        <v>64</v>
      </c>
      <c r="B74" s="987">
        <v>13</v>
      </c>
      <c r="C74" s="988" t="s">
        <v>772</v>
      </c>
      <c r="D74" s="989"/>
    </row>
    <row r="75" spans="1:4" x14ac:dyDescent="0.45">
      <c r="A75" s="986">
        <v>65</v>
      </c>
      <c r="B75" s="987">
        <v>13</v>
      </c>
      <c r="C75" s="988" t="s">
        <v>773</v>
      </c>
      <c r="D75" s="989"/>
    </row>
    <row r="76" spans="1:4" x14ac:dyDescent="0.45">
      <c r="A76" s="986">
        <v>66</v>
      </c>
      <c r="B76" s="987">
        <v>13</v>
      </c>
      <c r="C76" s="988" t="s">
        <v>774</v>
      </c>
      <c r="D76" s="989"/>
    </row>
    <row r="77" spans="1:4" x14ac:dyDescent="0.45">
      <c r="A77" s="986">
        <v>67</v>
      </c>
      <c r="B77" s="987">
        <v>13</v>
      </c>
      <c r="C77" s="988" t="s">
        <v>775</v>
      </c>
      <c r="D77" s="989"/>
    </row>
    <row r="78" spans="1:4" x14ac:dyDescent="0.45">
      <c r="A78" s="986">
        <v>68</v>
      </c>
      <c r="B78" s="987">
        <v>13</v>
      </c>
      <c r="C78" s="988" t="s">
        <v>776</v>
      </c>
      <c r="D78" s="989"/>
    </row>
    <row r="79" spans="1:4" x14ac:dyDescent="0.45">
      <c r="A79" s="986">
        <v>69</v>
      </c>
      <c r="B79" s="987">
        <v>13</v>
      </c>
      <c r="C79" s="988" t="s">
        <v>777</v>
      </c>
      <c r="D79" s="989"/>
    </row>
    <row r="80" spans="1:4" x14ac:dyDescent="0.45">
      <c r="A80" s="986">
        <v>70</v>
      </c>
      <c r="B80" s="987">
        <v>13</v>
      </c>
      <c r="C80" s="988" t="s">
        <v>778</v>
      </c>
      <c r="D80" s="989"/>
    </row>
    <row r="81" spans="1:4" x14ac:dyDescent="0.45">
      <c r="A81" s="986">
        <v>71</v>
      </c>
      <c r="B81" s="987">
        <v>13</v>
      </c>
      <c r="C81" s="988" t="s">
        <v>779</v>
      </c>
      <c r="D81" s="989"/>
    </row>
    <row r="82" spans="1:4" x14ac:dyDescent="0.45">
      <c r="A82" s="986">
        <v>72</v>
      </c>
      <c r="B82" s="987">
        <v>13</v>
      </c>
      <c r="C82" s="988" t="s">
        <v>780</v>
      </c>
      <c r="D82" s="989"/>
    </row>
    <row r="83" spans="1:4" x14ac:dyDescent="0.45">
      <c r="A83" s="986">
        <v>73</v>
      </c>
      <c r="B83" s="987">
        <v>13</v>
      </c>
      <c r="C83" s="988" t="s">
        <v>781</v>
      </c>
      <c r="D83" s="989"/>
    </row>
    <row r="84" spans="1:4" x14ac:dyDescent="0.45">
      <c r="A84" s="986">
        <v>74</v>
      </c>
      <c r="B84" s="987">
        <v>13</v>
      </c>
      <c r="C84" s="988" t="s">
        <v>782</v>
      </c>
      <c r="D84" s="989"/>
    </row>
    <row r="85" spans="1:4" x14ac:dyDescent="0.45">
      <c r="A85" s="986">
        <v>75</v>
      </c>
      <c r="B85" s="987">
        <v>13</v>
      </c>
      <c r="C85" s="988" t="s">
        <v>783</v>
      </c>
      <c r="D85" s="989"/>
    </row>
    <row r="86" spans="1:4" x14ac:dyDescent="0.45">
      <c r="A86" s="986">
        <v>76</v>
      </c>
      <c r="B86" s="987">
        <v>13</v>
      </c>
      <c r="C86" s="988" t="s">
        <v>784</v>
      </c>
      <c r="D86" s="989"/>
    </row>
    <row r="87" spans="1:4" x14ac:dyDescent="0.45">
      <c r="A87" s="986">
        <v>77</v>
      </c>
      <c r="B87" s="987">
        <v>13</v>
      </c>
      <c r="C87" s="988" t="s">
        <v>785</v>
      </c>
      <c r="D87" s="989"/>
    </row>
    <row r="88" spans="1:4" x14ac:dyDescent="0.45">
      <c r="A88" s="986">
        <v>78</v>
      </c>
      <c r="B88" s="987">
        <v>13</v>
      </c>
      <c r="C88" s="988" t="s">
        <v>786</v>
      </c>
      <c r="D88" s="989"/>
    </row>
    <row r="89" spans="1:4" x14ac:dyDescent="0.45">
      <c r="A89" s="986">
        <v>79</v>
      </c>
      <c r="B89" s="987">
        <v>13</v>
      </c>
      <c r="C89" s="988" t="s">
        <v>787</v>
      </c>
      <c r="D89" s="989"/>
    </row>
    <row r="90" spans="1:4" x14ac:dyDescent="0.45">
      <c r="A90" s="986">
        <v>80</v>
      </c>
      <c r="B90" s="987">
        <v>13</v>
      </c>
      <c r="C90" s="988" t="s">
        <v>788</v>
      </c>
      <c r="D90" s="989"/>
    </row>
    <row r="91" spans="1:4" x14ac:dyDescent="0.45">
      <c r="A91" s="986">
        <v>81</v>
      </c>
      <c r="B91" s="987">
        <v>13</v>
      </c>
      <c r="C91" s="988" t="s">
        <v>789</v>
      </c>
      <c r="D91" s="989"/>
    </row>
    <row r="92" spans="1:4" x14ac:dyDescent="0.45">
      <c r="A92" s="986">
        <v>82</v>
      </c>
      <c r="B92" s="987">
        <v>13</v>
      </c>
      <c r="C92" s="988" t="s">
        <v>790</v>
      </c>
      <c r="D92" s="989"/>
    </row>
    <row r="93" spans="1:4" x14ac:dyDescent="0.45">
      <c r="A93" s="986">
        <v>83</v>
      </c>
      <c r="B93" s="987">
        <v>13</v>
      </c>
      <c r="C93" s="988" t="s">
        <v>791</v>
      </c>
      <c r="D93" s="989"/>
    </row>
    <row r="94" spans="1:4" x14ac:dyDescent="0.45">
      <c r="A94" s="986">
        <v>84</v>
      </c>
      <c r="B94" s="987">
        <v>13</v>
      </c>
      <c r="C94" s="988" t="s">
        <v>792</v>
      </c>
      <c r="D94" s="989"/>
    </row>
    <row r="95" spans="1:4" x14ac:dyDescent="0.45">
      <c r="A95" s="986">
        <v>85</v>
      </c>
      <c r="B95" s="987">
        <v>13</v>
      </c>
      <c r="C95" s="988" t="s">
        <v>793</v>
      </c>
      <c r="D95" s="989"/>
    </row>
    <row r="96" spans="1:4" x14ac:dyDescent="0.45">
      <c r="A96" s="986">
        <v>86</v>
      </c>
      <c r="B96" s="987">
        <v>13</v>
      </c>
      <c r="C96" s="988" t="s">
        <v>794</v>
      </c>
      <c r="D96" s="989"/>
    </row>
    <row r="97" spans="1:4" x14ac:dyDescent="0.45">
      <c r="A97" s="986">
        <v>87</v>
      </c>
      <c r="B97" s="987">
        <v>13</v>
      </c>
      <c r="C97" s="988" t="s">
        <v>795</v>
      </c>
      <c r="D97" s="989"/>
    </row>
    <row r="98" spans="1:4" x14ac:dyDescent="0.45">
      <c r="A98" s="986">
        <v>88</v>
      </c>
      <c r="B98" s="987">
        <v>13</v>
      </c>
      <c r="C98" s="988" t="s">
        <v>796</v>
      </c>
      <c r="D98" s="989"/>
    </row>
    <row r="99" spans="1:4" x14ac:dyDescent="0.45">
      <c r="A99" s="990">
        <v>89</v>
      </c>
      <c r="B99" s="991">
        <v>13</v>
      </c>
      <c r="C99" s="992" t="s">
        <v>797</v>
      </c>
      <c r="D99" s="989"/>
    </row>
    <row r="100" spans="1:4" x14ac:dyDescent="0.45">
      <c r="A100" s="982">
        <v>90</v>
      </c>
      <c r="B100" s="983">
        <v>14</v>
      </c>
      <c r="C100" s="984" t="s">
        <v>798</v>
      </c>
      <c r="D100" s="985"/>
    </row>
    <row r="101" spans="1:4" x14ac:dyDescent="0.45">
      <c r="A101" s="986">
        <v>91</v>
      </c>
      <c r="B101" s="987">
        <v>14</v>
      </c>
      <c r="C101" s="988" t="s">
        <v>799</v>
      </c>
      <c r="D101" s="989"/>
    </row>
    <row r="102" spans="1:4" x14ac:dyDescent="0.45">
      <c r="A102" s="986">
        <v>92</v>
      </c>
      <c r="B102" s="987">
        <v>14</v>
      </c>
      <c r="C102" s="988" t="s">
        <v>800</v>
      </c>
      <c r="D102" s="989"/>
    </row>
    <row r="103" spans="1:4" x14ac:dyDescent="0.45">
      <c r="A103" s="1004">
        <v>93</v>
      </c>
      <c r="B103" s="1005">
        <v>14</v>
      </c>
      <c r="C103" s="988" t="s">
        <v>801</v>
      </c>
      <c r="D103" s="989"/>
    </row>
    <row r="104" spans="1:4" x14ac:dyDescent="0.45">
      <c r="A104" s="986">
        <v>94</v>
      </c>
      <c r="B104" s="987">
        <v>14</v>
      </c>
      <c r="C104" s="988" t="s">
        <v>802</v>
      </c>
      <c r="D104" s="989"/>
    </row>
    <row r="105" spans="1:4" x14ac:dyDescent="0.45">
      <c r="A105" s="986">
        <v>95</v>
      </c>
      <c r="B105" s="987">
        <v>14</v>
      </c>
      <c r="C105" s="988" t="s">
        <v>803</v>
      </c>
      <c r="D105" s="989"/>
    </row>
    <row r="106" spans="1:4" x14ac:dyDescent="0.45">
      <c r="A106" s="986">
        <v>96</v>
      </c>
      <c r="B106" s="987">
        <v>14</v>
      </c>
      <c r="C106" s="988" t="s">
        <v>804</v>
      </c>
      <c r="D106" s="989"/>
    </row>
    <row r="107" spans="1:4" x14ac:dyDescent="0.45">
      <c r="A107" s="986">
        <v>97</v>
      </c>
      <c r="B107" s="987">
        <v>14</v>
      </c>
      <c r="C107" s="988" t="s">
        <v>805</v>
      </c>
      <c r="D107" s="989"/>
    </row>
    <row r="108" spans="1:4" x14ac:dyDescent="0.45">
      <c r="A108" s="986">
        <v>98</v>
      </c>
      <c r="B108" s="987">
        <v>14</v>
      </c>
      <c r="C108" s="988" t="s">
        <v>806</v>
      </c>
      <c r="D108" s="989"/>
    </row>
    <row r="109" spans="1:4" x14ac:dyDescent="0.45">
      <c r="A109" s="986">
        <v>99</v>
      </c>
      <c r="B109" s="987">
        <v>14</v>
      </c>
      <c r="C109" s="988" t="s">
        <v>807</v>
      </c>
      <c r="D109" s="989"/>
    </row>
    <row r="110" spans="1:4" x14ac:dyDescent="0.45">
      <c r="A110" s="986">
        <v>100</v>
      </c>
      <c r="B110" s="987">
        <v>14</v>
      </c>
      <c r="C110" s="988" t="s">
        <v>808</v>
      </c>
      <c r="D110" s="989"/>
    </row>
    <row r="111" spans="1:4" x14ac:dyDescent="0.45">
      <c r="A111" s="986">
        <v>101</v>
      </c>
      <c r="B111" s="987">
        <v>14</v>
      </c>
      <c r="C111" s="988" t="s">
        <v>809</v>
      </c>
      <c r="D111" s="989"/>
    </row>
    <row r="112" spans="1:4" x14ac:dyDescent="0.45">
      <c r="A112" s="986">
        <v>102</v>
      </c>
      <c r="B112" s="987">
        <v>14</v>
      </c>
      <c r="C112" s="988" t="s">
        <v>810</v>
      </c>
      <c r="D112" s="989"/>
    </row>
    <row r="113" spans="1:4" x14ac:dyDescent="0.45">
      <c r="A113" s="986">
        <v>103</v>
      </c>
      <c r="B113" s="987">
        <v>14</v>
      </c>
      <c r="C113" s="988" t="s">
        <v>811</v>
      </c>
      <c r="D113" s="989"/>
    </row>
    <row r="114" spans="1:4" x14ac:dyDescent="0.45">
      <c r="A114" s="986">
        <v>104</v>
      </c>
      <c r="B114" s="987">
        <v>14</v>
      </c>
      <c r="C114" s="988" t="s">
        <v>812</v>
      </c>
      <c r="D114" s="989"/>
    </row>
    <row r="115" spans="1:4" x14ac:dyDescent="0.45">
      <c r="A115" s="986">
        <v>105</v>
      </c>
      <c r="B115" s="987">
        <v>14</v>
      </c>
      <c r="C115" s="988" t="s">
        <v>813</v>
      </c>
      <c r="D115" s="989"/>
    </row>
    <row r="116" spans="1:4" x14ac:dyDescent="0.45">
      <c r="A116" s="986">
        <v>106</v>
      </c>
      <c r="B116" s="987">
        <v>14</v>
      </c>
      <c r="C116" s="988" t="s">
        <v>814</v>
      </c>
      <c r="D116" s="989"/>
    </row>
    <row r="117" spans="1:4" x14ac:dyDescent="0.45">
      <c r="A117" s="986">
        <v>107</v>
      </c>
      <c r="B117" s="987">
        <v>14</v>
      </c>
      <c r="C117" s="988" t="s">
        <v>815</v>
      </c>
      <c r="D117" s="989"/>
    </row>
    <row r="118" spans="1:4" x14ac:dyDescent="0.45">
      <c r="A118" s="986">
        <v>108</v>
      </c>
      <c r="B118" s="987">
        <v>14</v>
      </c>
      <c r="C118" s="988" t="s">
        <v>816</v>
      </c>
      <c r="D118" s="989"/>
    </row>
    <row r="119" spans="1:4" x14ac:dyDescent="0.45">
      <c r="A119" s="986">
        <v>109</v>
      </c>
      <c r="B119" s="987">
        <v>14</v>
      </c>
      <c r="C119" s="988" t="s">
        <v>817</v>
      </c>
      <c r="D119" s="989"/>
    </row>
    <row r="120" spans="1:4" x14ac:dyDescent="0.45">
      <c r="A120" s="986">
        <v>110</v>
      </c>
      <c r="B120" s="987">
        <v>14</v>
      </c>
      <c r="C120" s="988" t="s">
        <v>818</v>
      </c>
      <c r="D120" s="989"/>
    </row>
    <row r="121" spans="1:4" x14ac:dyDescent="0.45">
      <c r="A121" s="986">
        <v>111</v>
      </c>
      <c r="B121" s="987">
        <v>14</v>
      </c>
      <c r="C121" s="988" t="s">
        <v>819</v>
      </c>
      <c r="D121" s="989"/>
    </row>
    <row r="122" spans="1:4" x14ac:dyDescent="0.45">
      <c r="A122" s="986">
        <v>112</v>
      </c>
      <c r="B122" s="987">
        <v>14</v>
      </c>
      <c r="C122" s="988" t="s">
        <v>820</v>
      </c>
      <c r="D122" s="989"/>
    </row>
    <row r="123" spans="1:4" x14ac:dyDescent="0.45">
      <c r="A123" s="986">
        <v>113</v>
      </c>
      <c r="B123" s="987">
        <v>14</v>
      </c>
      <c r="C123" s="988" t="s">
        <v>821</v>
      </c>
      <c r="D123" s="989"/>
    </row>
    <row r="124" spans="1:4" x14ac:dyDescent="0.45">
      <c r="A124" s="986">
        <v>114</v>
      </c>
      <c r="B124" s="987">
        <v>14</v>
      </c>
      <c r="C124" s="988" t="s">
        <v>822</v>
      </c>
      <c r="D124" s="989"/>
    </row>
    <row r="125" spans="1:4" x14ac:dyDescent="0.45">
      <c r="A125" s="986">
        <v>115</v>
      </c>
      <c r="B125" s="987">
        <v>14</v>
      </c>
      <c r="C125" s="988" t="s">
        <v>823</v>
      </c>
      <c r="D125" s="989"/>
    </row>
    <row r="126" spans="1:4" x14ac:dyDescent="0.45">
      <c r="A126" s="986">
        <v>116</v>
      </c>
      <c r="B126" s="987">
        <v>14</v>
      </c>
      <c r="C126" s="988" t="s">
        <v>824</v>
      </c>
      <c r="D126" s="989"/>
    </row>
    <row r="127" spans="1:4" x14ac:dyDescent="0.45">
      <c r="A127" s="986">
        <v>117</v>
      </c>
      <c r="B127" s="987">
        <v>14</v>
      </c>
      <c r="C127" s="988" t="s">
        <v>825</v>
      </c>
      <c r="D127" s="989"/>
    </row>
    <row r="128" spans="1:4" x14ac:dyDescent="0.45">
      <c r="A128" s="990">
        <v>118</v>
      </c>
      <c r="B128" s="991">
        <v>14</v>
      </c>
      <c r="C128" s="992" t="s">
        <v>826</v>
      </c>
      <c r="D128" s="989"/>
    </row>
    <row r="129" spans="1:4" x14ac:dyDescent="0.45">
      <c r="A129" s="1006">
        <v>119</v>
      </c>
      <c r="B129" s="1007" t="s">
        <v>827</v>
      </c>
      <c r="C129" s="984" t="s">
        <v>828</v>
      </c>
      <c r="D129" s="985"/>
    </row>
    <row r="130" spans="1:4" x14ac:dyDescent="0.45">
      <c r="A130" s="1004">
        <v>120</v>
      </c>
      <c r="B130" s="1005" t="s">
        <v>827</v>
      </c>
      <c r="C130" s="988" t="s">
        <v>829</v>
      </c>
      <c r="D130" s="989"/>
    </row>
    <row r="131" spans="1:4" x14ac:dyDescent="0.45">
      <c r="A131" s="1004">
        <v>121</v>
      </c>
      <c r="B131" s="1005" t="s">
        <v>827</v>
      </c>
      <c r="C131" s="988" t="s">
        <v>830</v>
      </c>
      <c r="D131" s="989"/>
    </row>
    <row r="132" spans="1:4" x14ac:dyDescent="0.45">
      <c r="A132" s="1004">
        <v>122</v>
      </c>
      <c r="B132" s="1005" t="s">
        <v>827</v>
      </c>
      <c r="C132" s="988" t="s">
        <v>831</v>
      </c>
      <c r="D132" s="989"/>
    </row>
    <row r="133" spans="1:4" x14ac:dyDescent="0.45">
      <c r="A133" s="1004">
        <v>123</v>
      </c>
      <c r="B133" s="1005" t="s">
        <v>827</v>
      </c>
      <c r="C133" s="988" t="s">
        <v>832</v>
      </c>
      <c r="D133" s="989"/>
    </row>
    <row r="134" spans="1:4" x14ac:dyDescent="0.45">
      <c r="A134" s="1004">
        <v>124</v>
      </c>
      <c r="B134" s="1005" t="s">
        <v>827</v>
      </c>
      <c r="C134" s="988" t="s">
        <v>833</v>
      </c>
      <c r="D134" s="989"/>
    </row>
    <row r="135" spans="1:4" x14ac:dyDescent="0.45">
      <c r="A135" s="1004">
        <v>125</v>
      </c>
      <c r="B135" s="1005" t="s">
        <v>827</v>
      </c>
      <c r="C135" s="988" t="s">
        <v>834</v>
      </c>
      <c r="D135" s="989"/>
    </row>
    <row r="136" spans="1:4" x14ac:dyDescent="0.45">
      <c r="A136" s="1004">
        <v>126</v>
      </c>
      <c r="B136" s="1005" t="s">
        <v>827</v>
      </c>
      <c r="C136" s="988" t="s">
        <v>835</v>
      </c>
      <c r="D136" s="989"/>
    </row>
    <row r="137" spans="1:4" x14ac:dyDescent="0.45">
      <c r="A137" s="1004">
        <v>127</v>
      </c>
      <c r="B137" s="1005" t="s">
        <v>827</v>
      </c>
      <c r="C137" s="988" t="s">
        <v>836</v>
      </c>
      <c r="D137" s="989"/>
    </row>
    <row r="138" spans="1:4" x14ac:dyDescent="0.45">
      <c r="A138" s="1004">
        <v>128</v>
      </c>
      <c r="B138" s="1005" t="s">
        <v>827</v>
      </c>
      <c r="C138" s="988" t="s">
        <v>837</v>
      </c>
      <c r="D138" s="989"/>
    </row>
    <row r="139" spans="1:4" x14ac:dyDescent="0.45">
      <c r="A139" s="1004">
        <v>129</v>
      </c>
      <c r="B139" s="1005" t="s">
        <v>827</v>
      </c>
      <c r="C139" s="988" t="s">
        <v>838</v>
      </c>
      <c r="D139" s="989"/>
    </row>
    <row r="140" spans="1:4" x14ac:dyDescent="0.45">
      <c r="A140" s="1008">
        <v>130</v>
      </c>
      <c r="B140" s="1009" t="s">
        <v>827</v>
      </c>
      <c r="C140" s="992" t="s">
        <v>839</v>
      </c>
      <c r="D140" s="993"/>
    </row>
    <row r="141" spans="1:4" x14ac:dyDescent="0.45">
      <c r="A141" s="1006">
        <v>131</v>
      </c>
      <c r="B141" s="1007" t="s">
        <v>840</v>
      </c>
      <c r="C141" s="984" t="s">
        <v>841</v>
      </c>
      <c r="D141" s="985"/>
    </row>
    <row r="142" spans="1:4" x14ac:dyDescent="0.45">
      <c r="A142" s="1004">
        <v>132</v>
      </c>
      <c r="B142" s="1005" t="s">
        <v>840</v>
      </c>
      <c r="C142" s="988" t="s">
        <v>842</v>
      </c>
      <c r="D142" s="989"/>
    </row>
    <row r="143" spans="1:4" x14ac:dyDescent="0.45">
      <c r="A143" s="1004">
        <v>133</v>
      </c>
      <c r="B143" s="1005" t="s">
        <v>840</v>
      </c>
      <c r="C143" s="988" t="s">
        <v>843</v>
      </c>
      <c r="D143" s="989"/>
    </row>
    <row r="144" spans="1:4" x14ac:dyDescent="0.45">
      <c r="A144" s="1004">
        <v>134</v>
      </c>
      <c r="B144" s="1005" t="s">
        <v>840</v>
      </c>
      <c r="C144" s="988" t="s">
        <v>844</v>
      </c>
      <c r="D144" s="989"/>
    </row>
    <row r="145" spans="1:4" x14ac:dyDescent="0.45">
      <c r="A145" s="1004">
        <v>135</v>
      </c>
      <c r="B145" s="1005" t="s">
        <v>840</v>
      </c>
      <c r="C145" s="988" t="s">
        <v>845</v>
      </c>
      <c r="D145" s="989"/>
    </row>
    <row r="146" spans="1:4" x14ac:dyDescent="0.45">
      <c r="A146" s="1004">
        <v>136</v>
      </c>
      <c r="B146" s="1005" t="s">
        <v>840</v>
      </c>
      <c r="C146" s="988" t="s">
        <v>846</v>
      </c>
      <c r="D146" s="989"/>
    </row>
    <row r="147" spans="1:4" x14ac:dyDescent="0.45">
      <c r="A147" s="1004">
        <v>137</v>
      </c>
      <c r="B147" s="1005" t="s">
        <v>840</v>
      </c>
      <c r="C147" s="988" t="s">
        <v>847</v>
      </c>
      <c r="D147" s="989"/>
    </row>
    <row r="148" spans="1:4" x14ac:dyDescent="0.45">
      <c r="A148" s="1004">
        <v>138</v>
      </c>
      <c r="B148" s="1005" t="s">
        <v>840</v>
      </c>
      <c r="C148" s="988" t="s">
        <v>848</v>
      </c>
      <c r="D148" s="989"/>
    </row>
    <row r="149" spans="1:4" x14ac:dyDescent="0.45">
      <c r="A149" s="1004">
        <v>139</v>
      </c>
      <c r="B149" s="1005" t="s">
        <v>840</v>
      </c>
      <c r="C149" s="988" t="s">
        <v>849</v>
      </c>
      <c r="D149" s="989"/>
    </row>
    <row r="150" spans="1:4" x14ac:dyDescent="0.45">
      <c r="A150" s="1004">
        <v>140</v>
      </c>
      <c r="B150" s="1005" t="s">
        <v>840</v>
      </c>
      <c r="C150" s="988" t="s">
        <v>850</v>
      </c>
      <c r="D150" s="989"/>
    </row>
    <row r="151" spans="1:4" x14ac:dyDescent="0.45">
      <c r="A151" s="1004">
        <v>141</v>
      </c>
      <c r="B151" s="1005" t="s">
        <v>840</v>
      </c>
      <c r="C151" s="988" t="s">
        <v>851</v>
      </c>
      <c r="D151" s="989"/>
    </row>
    <row r="152" spans="1:4" x14ac:dyDescent="0.45">
      <c r="A152" s="1004">
        <v>142</v>
      </c>
      <c r="B152" s="1005" t="s">
        <v>840</v>
      </c>
      <c r="C152" s="988" t="s">
        <v>852</v>
      </c>
      <c r="D152" s="989"/>
    </row>
    <row r="153" spans="1:4" x14ac:dyDescent="0.45">
      <c r="A153" s="1004">
        <v>143</v>
      </c>
      <c r="B153" s="1005" t="s">
        <v>840</v>
      </c>
      <c r="C153" s="988" t="s">
        <v>853</v>
      </c>
      <c r="D153" s="989"/>
    </row>
    <row r="154" spans="1:4" x14ac:dyDescent="0.45">
      <c r="A154" s="1004">
        <v>144</v>
      </c>
      <c r="B154" s="1005" t="s">
        <v>840</v>
      </c>
      <c r="C154" s="988" t="s">
        <v>854</v>
      </c>
      <c r="D154" s="989"/>
    </row>
    <row r="155" spans="1:4" x14ac:dyDescent="0.45">
      <c r="A155" s="1004">
        <v>145</v>
      </c>
      <c r="B155" s="1005" t="s">
        <v>840</v>
      </c>
      <c r="C155" s="988" t="s">
        <v>855</v>
      </c>
      <c r="D155" s="989"/>
    </row>
    <row r="156" spans="1:4" x14ac:dyDescent="0.45">
      <c r="A156" s="1004">
        <v>146</v>
      </c>
      <c r="B156" s="1005" t="s">
        <v>840</v>
      </c>
      <c r="C156" s="988" t="s">
        <v>856</v>
      </c>
      <c r="D156" s="989"/>
    </row>
    <row r="157" spans="1:4" x14ac:dyDescent="0.45">
      <c r="A157" s="1008">
        <v>147</v>
      </c>
      <c r="B157" s="1009" t="s">
        <v>840</v>
      </c>
      <c r="C157" s="992" t="s">
        <v>857</v>
      </c>
      <c r="D157" s="993"/>
    </row>
    <row r="158" spans="1:4" x14ac:dyDescent="0.45">
      <c r="A158" s="1006">
        <v>148</v>
      </c>
      <c r="B158" s="1007" t="s">
        <v>858</v>
      </c>
      <c r="C158" s="984" t="s">
        <v>859</v>
      </c>
      <c r="D158" s="985"/>
    </row>
    <row r="159" spans="1:4" x14ac:dyDescent="0.45">
      <c r="A159" s="1004">
        <v>149</v>
      </c>
      <c r="B159" s="1005" t="s">
        <v>858</v>
      </c>
      <c r="C159" s="988" t="s">
        <v>860</v>
      </c>
      <c r="D159" s="989"/>
    </row>
    <row r="160" spans="1:4" x14ac:dyDescent="0.45">
      <c r="A160" s="1004">
        <v>150</v>
      </c>
      <c r="B160" s="1005" t="s">
        <v>858</v>
      </c>
      <c r="C160" s="988" t="s">
        <v>861</v>
      </c>
      <c r="D160" s="989"/>
    </row>
    <row r="161" spans="1:4" x14ac:dyDescent="0.45">
      <c r="A161" s="1004">
        <v>151</v>
      </c>
      <c r="B161" s="1005" t="s">
        <v>858</v>
      </c>
      <c r="C161" s="988" t="s">
        <v>862</v>
      </c>
      <c r="D161" s="989"/>
    </row>
    <row r="162" spans="1:4" x14ac:dyDescent="0.45">
      <c r="A162" s="1004">
        <v>152</v>
      </c>
      <c r="B162" s="1005" t="s">
        <v>858</v>
      </c>
      <c r="C162" s="988" t="s">
        <v>863</v>
      </c>
      <c r="D162" s="989"/>
    </row>
    <row r="163" spans="1:4" x14ac:dyDescent="0.45">
      <c r="A163" s="1004">
        <v>153</v>
      </c>
      <c r="B163" s="1005" t="s">
        <v>858</v>
      </c>
      <c r="C163" s="988" t="s">
        <v>864</v>
      </c>
      <c r="D163" s="989"/>
    </row>
    <row r="164" spans="1:4" x14ac:dyDescent="0.45">
      <c r="A164" s="1004">
        <v>154</v>
      </c>
      <c r="B164" s="1005" t="s">
        <v>858</v>
      </c>
      <c r="C164" s="988" t="s">
        <v>865</v>
      </c>
      <c r="D164" s="989"/>
    </row>
    <row r="165" spans="1:4" x14ac:dyDescent="0.45">
      <c r="A165" s="1004">
        <v>155</v>
      </c>
      <c r="B165" s="1005" t="s">
        <v>858</v>
      </c>
      <c r="C165" s="988" t="s">
        <v>866</v>
      </c>
      <c r="D165" s="989"/>
    </row>
    <row r="166" spans="1:4" x14ac:dyDescent="0.45">
      <c r="A166" s="1004">
        <v>156</v>
      </c>
      <c r="B166" s="1005" t="s">
        <v>858</v>
      </c>
      <c r="C166" s="988" t="s">
        <v>867</v>
      </c>
      <c r="D166" s="989"/>
    </row>
    <row r="167" spans="1:4" x14ac:dyDescent="0.45">
      <c r="A167" s="1004">
        <v>157</v>
      </c>
      <c r="B167" s="1005" t="s">
        <v>858</v>
      </c>
      <c r="C167" s="988" t="s">
        <v>868</v>
      </c>
      <c r="D167" s="989"/>
    </row>
    <row r="168" spans="1:4" x14ac:dyDescent="0.45">
      <c r="A168" s="1008">
        <v>158</v>
      </c>
      <c r="B168" s="1009" t="s">
        <v>858</v>
      </c>
      <c r="C168" s="992" t="s">
        <v>869</v>
      </c>
      <c r="D168" s="993"/>
    </row>
    <row r="169" spans="1:4" x14ac:dyDescent="0.45">
      <c r="A169" s="1006">
        <v>159</v>
      </c>
      <c r="B169" s="1007" t="s">
        <v>870</v>
      </c>
      <c r="C169" s="984" t="s">
        <v>871</v>
      </c>
      <c r="D169" s="985"/>
    </row>
    <row r="170" spans="1:4" x14ac:dyDescent="0.45">
      <c r="A170" s="1004">
        <v>160</v>
      </c>
      <c r="B170" s="1005" t="s">
        <v>870</v>
      </c>
      <c r="C170" s="988" t="s">
        <v>872</v>
      </c>
      <c r="D170" s="989"/>
    </row>
    <row r="171" spans="1:4" x14ac:dyDescent="0.45">
      <c r="A171" s="1004">
        <v>161</v>
      </c>
      <c r="B171" s="1005" t="s">
        <v>870</v>
      </c>
      <c r="C171" s="988" t="s">
        <v>873</v>
      </c>
      <c r="D171" s="989"/>
    </row>
    <row r="172" spans="1:4" x14ac:dyDescent="0.45">
      <c r="A172" s="1004">
        <v>162</v>
      </c>
      <c r="B172" s="1005" t="s">
        <v>870</v>
      </c>
      <c r="C172" s="988" t="s">
        <v>874</v>
      </c>
      <c r="D172" s="989"/>
    </row>
    <row r="173" spans="1:4" x14ac:dyDescent="0.45">
      <c r="A173" s="1004">
        <v>163</v>
      </c>
      <c r="B173" s="1005" t="s">
        <v>870</v>
      </c>
      <c r="C173" s="988" t="s">
        <v>875</v>
      </c>
      <c r="D173" s="989"/>
    </row>
    <row r="174" spans="1:4" x14ac:dyDescent="0.45">
      <c r="A174" s="1008">
        <v>164</v>
      </c>
      <c r="B174" s="1009" t="s">
        <v>870</v>
      </c>
      <c r="C174" s="992" t="s">
        <v>876</v>
      </c>
      <c r="D174" s="993"/>
    </row>
    <row r="175" spans="1:4" x14ac:dyDescent="0.45">
      <c r="A175" s="1002">
        <v>165</v>
      </c>
      <c r="B175" s="1003" t="s">
        <v>877</v>
      </c>
      <c r="C175" s="996" t="s">
        <v>878</v>
      </c>
      <c r="D175" s="997"/>
    </row>
    <row r="176" spans="1:4" x14ac:dyDescent="0.45">
      <c r="A176" s="982">
        <v>166</v>
      </c>
      <c r="B176" s="983">
        <v>17</v>
      </c>
      <c r="C176" s="984" t="s">
        <v>879</v>
      </c>
      <c r="D176" s="985"/>
    </row>
    <row r="177" spans="1:4" x14ac:dyDescent="0.45">
      <c r="A177" s="986">
        <v>167</v>
      </c>
      <c r="B177" s="987">
        <v>17</v>
      </c>
      <c r="C177" s="988" t="s">
        <v>880</v>
      </c>
      <c r="D177" s="989"/>
    </row>
    <row r="178" spans="1:4" x14ac:dyDescent="0.45">
      <c r="A178" s="986">
        <v>168</v>
      </c>
      <c r="B178" s="987">
        <v>17</v>
      </c>
      <c r="C178" s="988" t="s">
        <v>881</v>
      </c>
      <c r="D178" s="989"/>
    </row>
    <row r="179" spans="1:4" x14ac:dyDescent="0.45">
      <c r="A179" s="986">
        <v>169</v>
      </c>
      <c r="B179" s="987">
        <v>17</v>
      </c>
      <c r="C179" s="988" t="s">
        <v>882</v>
      </c>
      <c r="D179" s="989"/>
    </row>
    <row r="180" spans="1:4" x14ac:dyDescent="0.45">
      <c r="A180" s="986">
        <v>170</v>
      </c>
      <c r="B180" s="987">
        <v>17</v>
      </c>
      <c r="C180" s="988" t="s">
        <v>883</v>
      </c>
      <c r="D180" s="989"/>
    </row>
    <row r="181" spans="1:4" x14ac:dyDescent="0.45">
      <c r="A181" s="1004">
        <v>171</v>
      </c>
      <c r="B181" s="1005">
        <v>17</v>
      </c>
      <c r="C181" s="988" t="s">
        <v>884</v>
      </c>
      <c r="D181" s="989"/>
    </row>
    <row r="182" spans="1:4" x14ac:dyDescent="0.45">
      <c r="A182" s="986">
        <v>172</v>
      </c>
      <c r="B182" s="987">
        <v>17</v>
      </c>
      <c r="C182" s="988" t="s">
        <v>885</v>
      </c>
      <c r="D182" s="989"/>
    </row>
    <row r="183" spans="1:4" x14ac:dyDescent="0.45">
      <c r="A183" s="986">
        <v>173</v>
      </c>
      <c r="B183" s="987">
        <v>17</v>
      </c>
      <c r="C183" s="988" t="s">
        <v>886</v>
      </c>
      <c r="D183" s="989"/>
    </row>
    <row r="184" spans="1:4" x14ac:dyDescent="0.45">
      <c r="A184" s="986">
        <v>174</v>
      </c>
      <c r="B184" s="987">
        <v>17</v>
      </c>
      <c r="C184" s="988" t="s">
        <v>887</v>
      </c>
      <c r="D184" s="989"/>
    </row>
    <row r="185" spans="1:4" x14ac:dyDescent="0.45">
      <c r="A185" s="986">
        <v>175</v>
      </c>
      <c r="B185" s="987">
        <v>17</v>
      </c>
      <c r="C185" s="988" t="s">
        <v>888</v>
      </c>
      <c r="D185" s="989"/>
    </row>
    <row r="186" spans="1:4" x14ac:dyDescent="0.45">
      <c r="A186" s="986">
        <v>176</v>
      </c>
      <c r="B186" s="987">
        <v>17</v>
      </c>
      <c r="C186" s="988" t="s">
        <v>889</v>
      </c>
      <c r="D186" s="989"/>
    </row>
    <row r="187" spans="1:4" x14ac:dyDescent="0.45">
      <c r="A187" s="986">
        <v>177</v>
      </c>
      <c r="B187" s="987">
        <v>17</v>
      </c>
      <c r="C187" s="988" t="s">
        <v>890</v>
      </c>
      <c r="D187" s="989"/>
    </row>
    <row r="188" spans="1:4" x14ac:dyDescent="0.45">
      <c r="A188" s="986">
        <v>178</v>
      </c>
      <c r="B188" s="987">
        <v>17</v>
      </c>
      <c r="C188" s="988" t="s">
        <v>891</v>
      </c>
      <c r="D188" s="989"/>
    </row>
    <row r="189" spans="1:4" x14ac:dyDescent="0.45">
      <c r="A189" s="986">
        <v>179</v>
      </c>
      <c r="B189" s="987">
        <v>17</v>
      </c>
      <c r="C189" s="988" t="s">
        <v>892</v>
      </c>
      <c r="D189" s="989"/>
    </row>
    <row r="190" spans="1:4" x14ac:dyDescent="0.45">
      <c r="A190" s="986">
        <v>180</v>
      </c>
      <c r="B190" s="987">
        <v>17</v>
      </c>
      <c r="C190" s="988" t="s">
        <v>893</v>
      </c>
      <c r="D190" s="989"/>
    </row>
    <row r="191" spans="1:4" x14ac:dyDescent="0.45">
      <c r="A191" s="986">
        <v>181</v>
      </c>
      <c r="B191" s="987">
        <v>17</v>
      </c>
      <c r="C191" s="988" t="s">
        <v>894</v>
      </c>
      <c r="D191" s="989"/>
    </row>
    <row r="192" spans="1:4" x14ac:dyDescent="0.45">
      <c r="A192" s="986">
        <v>182</v>
      </c>
      <c r="B192" s="987">
        <v>17</v>
      </c>
      <c r="C192" s="988" t="s">
        <v>895</v>
      </c>
      <c r="D192" s="989"/>
    </row>
    <row r="193" spans="1:4" x14ac:dyDescent="0.45">
      <c r="A193" s="986">
        <v>183</v>
      </c>
      <c r="B193" s="987">
        <v>17</v>
      </c>
      <c r="C193" s="988" t="s">
        <v>896</v>
      </c>
      <c r="D193" s="989"/>
    </row>
    <row r="194" spans="1:4" x14ac:dyDescent="0.45">
      <c r="A194" s="986">
        <v>184</v>
      </c>
      <c r="B194" s="987">
        <v>17</v>
      </c>
      <c r="C194" s="988" t="s">
        <v>897</v>
      </c>
      <c r="D194" s="989"/>
    </row>
    <row r="195" spans="1:4" x14ac:dyDescent="0.45">
      <c r="A195" s="990">
        <v>185</v>
      </c>
      <c r="B195" s="991">
        <v>17</v>
      </c>
      <c r="C195" s="992" t="s">
        <v>898</v>
      </c>
      <c r="D195" s="993"/>
    </row>
    <row r="196" spans="1:4" x14ac:dyDescent="0.45">
      <c r="A196" s="982">
        <v>186</v>
      </c>
      <c r="B196" s="983">
        <v>18</v>
      </c>
      <c r="C196" s="984" t="s">
        <v>899</v>
      </c>
      <c r="D196" s="985"/>
    </row>
    <row r="197" spans="1:4" x14ac:dyDescent="0.45">
      <c r="A197" s="986">
        <v>187</v>
      </c>
      <c r="B197" s="987">
        <v>18</v>
      </c>
      <c r="C197" s="988" t="s">
        <v>900</v>
      </c>
      <c r="D197" s="989"/>
    </row>
    <row r="198" spans="1:4" x14ac:dyDescent="0.45">
      <c r="A198" s="986">
        <v>188</v>
      </c>
      <c r="B198" s="987">
        <v>18</v>
      </c>
      <c r="C198" s="988" t="s">
        <v>901</v>
      </c>
      <c r="D198" s="989"/>
    </row>
    <row r="199" spans="1:4" x14ac:dyDescent="0.45">
      <c r="A199" s="986">
        <v>189</v>
      </c>
      <c r="B199" s="987">
        <v>18</v>
      </c>
      <c r="C199" s="988" t="s">
        <v>902</v>
      </c>
      <c r="D199" s="989"/>
    </row>
    <row r="200" spans="1:4" x14ac:dyDescent="0.45">
      <c r="A200" s="986">
        <v>190</v>
      </c>
      <c r="B200" s="987">
        <v>18</v>
      </c>
      <c r="C200" s="988" t="s">
        <v>903</v>
      </c>
      <c r="D200" s="989"/>
    </row>
    <row r="201" spans="1:4" x14ac:dyDescent="0.45">
      <c r="A201" s="986">
        <v>191</v>
      </c>
      <c r="B201" s="987">
        <v>18</v>
      </c>
      <c r="C201" s="988" t="s">
        <v>904</v>
      </c>
      <c r="D201" s="989"/>
    </row>
    <row r="202" spans="1:4" x14ac:dyDescent="0.45">
      <c r="A202" s="986">
        <v>192</v>
      </c>
      <c r="B202" s="987">
        <v>18</v>
      </c>
      <c r="C202" s="988" t="s">
        <v>905</v>
      </c>
      <c r="D202" s="989"/>
    </row>
    <row r="203" spans="1:4" x14ac:dyDescent="0.45">
      <c r="A203" s="986">
        <v>193</v>
      </c>
      <c r="B203" s="987">
        <v>18</v>
      </c>
      <c r="C203" s="988" t="s">
        <v>906</v>
      </c>
      <c r="D203" s="989"/>
    </row>
    <row r="204" spans="1:4" x14ac:dyDescent="0.45">
      <c r="A204" s="986">
        <v>194</v>
      </c>
      <c r="B204" s="987">
        <v>18</v>
      </c>
      <c r="C204" s="988" t="s">
        <v>907</v>
      </c>
      <c r="D204" s="989"/>
    </row>
    <row r="205" spans="1:4" x14ac:dyDescent="0.45">
      <c r="A205" s="986">
        <v>195</v>
      </c>
      <c r="B205" s="987">
        <v>18</v>
      </c>
      <c r="C205" s="988" t="s">
        <v>908</v>
      </c>
      <c r="D205" s="989"/>
    </row>
    <row r="206" spans="1:4" x14ac:dyDescent="0.45">
      <c r="A206" s="986">
        <v>196</v>
      </c>
      <c r="B206" s="987">
        <v>18</v>
      </c>
      <c r="C206" s="988" t="s">
        <v>909</v>
      </c>
      <c r="D206" s="989"/>
    </row>
    <row r="207" spans="1:4" x14ac:dyDescent="0.45">
      <c r="A207" s="986">
        <v>197</v>
      </c>
      <c r="B207" s="987">
        <v>18</v>
      </c>
      <c r="C207" s="988" t="s">
        <v>910</v>
      </c>
      <c r="D207" s="989"/>
    </row>
    <row r="208" spans="1:4" x14ac:dyDescent="0.45">
      <c r="A208" s="986">
        <v>198</v>
      </c>
      <c r="B208" s="987">
        <v>18</v>
      </c>
      <c r="C208" s="988" t="s">
        <v>911</v>
      </c>
      <c r="D208" s="989"/>
    </row>
    <row r="209" spans="1:4" x14ac:dyDescent="0.45">
      <c r="A209" s="986">
        <v>199</v>
      </c>
      <c r="B209" s="987">
        <v>18</v>
      </c>
      <c r="C209" s="988" t="s">
        <v>912</v>
      </c>
      <c r="D209" s="989"/>
    </row>
    <row r="210" spans="1:4" x14ac:dyDescent="0.45">
      <c r="A210" s="986">
        <v>200</v>
      </c>
      <c r="B210" s="987">
        <v>18</v>
      </c>
      <c r="C210" s="988" t="s">
        <v>913</v>
      </c>
      <c r="D210" s="989"/>
    </row>
    <row r="211" spans="1:4" x14ac:dyDescent="0.45">
      <c r="A211" s="986">
        <v>201</v>
      </c>
      <c r="B211" s="987">
        <v>18</v>
      </c>
      <c r="C211" s="988" t="s">
        <v>914</v>
      </c>
      <c r="D211" s="989"/>
    </row>
    <row r="212" spans="1:4" x14ac:dyDescent="0.45">
      <c r="A212" s="986">
        <v>202</v>
      </c>
      <c r="B212" s="987">
        <v>18</v>
      </c>
      <c r="C212" s="988" t="s">
        <v>915</v>
      </c>
      <c r="D212" s="989"/>
    </row>
    <row r="213" spans="1:4" x14ac:dyDescent="0.45">
      <c r="A213" s="986">
        <v>203</v>
      </c>
      <c r="B213" s="987">
        <v>18</v>
      </c>
      <c r="C213" s="988" t="s">
        <v>916</v>
      </c>
      <c r="D213" s="989"/>
    </row>
    <row r="214" spans="1:4" x14ac:dyDescent="0.45">
      <c r="A214" s="986">
        <v>204</v>
      </c>
      <c r="B214" s="987">
        <v>18</v>
      </c>
      <c r="C214" s="988" t="s">
        <v>917</v>
      </c>
      <c r="D214" s="989"/>
    </row>
    <row r="215" spans="1:4" x14ac:dyDescent="0.45">
      <c r="A215" s="986">
        <v>205</v>
      </c>
      <c r="B215" s="987">
        <v>18</v>
      </c>
      <c r="C215" s="988" t="s">
        <v>918</v>
      </c>
      <c r="D215" s="989"/>
    </row>
    <row r="216" spans="1:4" x14ac:dyDescent="0.45">
      <c r="A216" s="986">
        <v>206</v>
      </c>
      <c r="B216" s="987">
        <v>18</v>
      </c>
      <c r="C216" s="988" t="s">
        <v>919</v>
      </c>
      <c r="D216" s="989"/>
    </row>
    <row r="217" spans="1:4" x14ac:dyDescent="0.45">
      <c r="A217" s="986">
        <v>207</v>
      </c>
      <c r="B217" s="987">
        <v>18</v>
      </c>
      <c r="C217" s="988" t="s">
        <v>920</v>
      </c>
      <c r="D217" s="989"/>
    </row>
    <row r="218" spans="1:4" x14ac:dyDescent="0.45">
      <c r="A218" s="986">
        <v>208</v>
      </c>
      <c r="B218" s="987">
        <v>18</v>
      </c>
      <c r="C218" s="988" t="s">
        <v>921</v>
      </c>
      <c r="D218" s="989"/>
    </row>
    <row r="219" spans="1:4" x14ac:dyDescent="0.45">
      <c r="A219" s="986">
        <v>209</v>
      </c>
      <c r="B219" s="987">
        <v>18</v>
      </c>
      <c r="C219" s="988" t="s">
        <v>922</v>
      </c>
      <c r="D219" s="989"/>
    </row>
    <row r="220" spans="1:4" x14ac:dyDescent="0.45">
      <c r="A220" s="986">
        <v>210</v>
      </c>
      <c r="B220" s="987">
        <v>18</v>
      </c>
      <c r="C220" s="988" t="s">
        <v>923</v>
      </c>
      <c r="D220" s="989"/>
    </row>
    <row r="221" spans="1:4" x14ac:dyDescent="0.45">
      <c r="A221" s="986">
        <v>211</v>
      </c>
      <c r="B221" s="987">
        <v>18</v>
      </c>
      <c r="C221" s="988" t="s">
        <v>924</v>
      </c>
      <c r="D221" s="989"/>
    </row>
    <row r="222" spans="1:4" x14ac:dyDescent="0.45">
      <c r="A222" s="986">
        <v>212</v>
      </c>
      <c r="B222" s="987">
        <v>18</v>
      </c>
      <c r="C222" s="988" t="s">
        <v>925</v>
      </c>
      <c r="D222" s="989"/>
    </row>
    <row r="223" spans="1:4" x14ac:dyDescent="0.45">
      <c r="A223" s="986">
        <v>213</v>
      </c>
      <c r="B223" s="987">
        <v>18</v>
      </c>
      <c r="C223" s="988" t="s">
        <v>926</v>
      </c>
      <c r="D223" s="989"/>
    </row>
    <row r="224" spans="1:4" x14ac:dyDescent="0.45">
      <c r="A224" s="990">
        <v>214</v>
      </c>
      <c r="B224" s="991">
        <v>18</v>
      </c>
      <c r="C224" s="992" t="s">
        <v>927</v>
      </c>
      <c r="D224" s="993"/>
    </row>
    <row r="225" spans="1:4" x14ac:dyDescent="0.45">
      <c r="A225" s="1006">
        <v>215</v>
      </c>
      <c r="B225" s="1007" t="s">
        <v>928</v>
      </c>
      <c r="C225" s="984" t="s">
        <v>929</v>
      </c>
      <c r="D225" s="985"/>
    </row>
    <row r="226" spans="1:4" x14ac:dyDescent="0.45">
      <c r="A226" s="1004">
        <v>216</v>
      </c>
      <c r="B226" s="1005" t="s">
        <v>928</v>
      </c>
      <c r="C226" s="988" t="s">
        <v>930</v>
      </c>
      <c r="D226" s="989"/>
    </row>
    <row r="227" spans="1:4" x14ac:dyDescent="0.45">
      <c r="A227" s="1004">
        <v>217</v>
      </c>
      <c r="B227" s="1005" t="s">
        <v>928</v>
      </c>
      <c r="C227" s="988" t="s">
        <v>931</v>
      </c>
      <c r="D227" s="989"/>
    </row>
    <row r="228" spans="1:4" x14ac:dyDescent="0.45">
      <c r="A228" s="1004">
        <v>218</v>
      </c>
      <c r="B228" s="1005" t="s">
        <v>928</v>
      </c>
      <c r="C228" s="988" t="s">
        <v>932</v>
      </c>
      <c r="D228" s="989"/>
    </row>
    <row r="229" spans="1:4" x14ac:dyDescent="0.45">
      <c r="A229" s="1004">
        <v>219</v>
      </c>
      <c r="B229" s="1005" t="s">
        <v>928</v>
      </c>
      <c r="C229" s="988" t="s">
        <v>933</v>
      </c>
      <c r="D229" s="989"/>
    </row>
    <row r="230" spans="1:4" x14ac:dyDescent="0.45">
      <c r="A230" s="1004">
        <v>220</v>
      </c>
      <c r="B230" s="1005" t="s">
        <v>928</v>
      </c>
      <c r="C230" s="988" t="s">
        <v>934</v>
      </c>
      <c r="D230" s="989"/>
    </row>
    <row r="231" spans="1:4" x14ac:dyDescent="0.45">
      <c r="A231" s="1004">
        <v>221</v>
      </c>
      <c r="B231" s="1005" t="s">
        <v>928</v>
      </c>
      <c r="C231" s="988" t="s">
        <v>935</v>
      </c>
      <c r="D231" s="989"/>
    </row>
    <row r="232" spans="1:4" x14ac:dyDescent="0.45">
      <c r="A232" s="1008">
        <v>222</v>
      </c>
      <c r="B232" s="1009" t="s">
        <v>928</v>
      </c>
      <c r="C232" s="992" t="s">
        <v>936</v>
      </c>
      <c r="D232" s="993"/>
    </row>
    <row r="233" spans="1:4" x14ac:dyDescent="0.45">
      <c r="A233" s="1006">
        <v>223</v>
      </c>
      <c r="B233" s="1007" t="s">
        <v>937</v>
      </c>
      <c r="C233" s="984" t="s">
        <v>938</v>
      </c>
      <c r="D233" s="985"/>
    </row>
    <row r="234" spans="1:4" x14ac:dyDescent="0.45">
      <c r="A234" s="1004">
        <v>224</v>
      </c>
      <c r="B234" s="1005" t="s">
        <v>937</v>
      </c>
      <c r="C234" s="988" t="s">
        <v>939</v>
      </c>
      <c r="D234" s="989"/>
    </row>
    <row r="235" spans="1:4" x14ac:dyDescent="0.45">
      <c r="A235" s="1004">
        <v>225</v>
      </c>
      <c r="B235" s="1005" t="s">
        <v>937</v>
      </c>
      <c r="C235" s="988" t="s">
        <v>940</v>
      </c>
      <c r="D235" s="989"/>
    </row>
    <row r="236" spans="1:4" x14ac:dyDescent="0.45">
      <c r="A236" s="1004">
        <v>226</v>
      </c>
      <c r="B236" s="1005" t="s">
        <v>937</v>
      </c>
      <c r="C236" s="988" t="s">
        <v>941</v>
      </c>
      <c r="D236" s="989"/>
    </row>
    <row r="237" spans="1:4" x14ac:dyDescent="0.45">
      <c r="A237" s="1004">
        <v>227</v>
      </c>
      <c r="B237" s="1005" t="s">
        <v>937</v>
      </c>
      <c r="C237" s="988" t="s">
        <v>942</v>
      </c>
      <c r="D237" s="989"/>
    </row>
    <row r="238" spans="1:4" x14ac:dyDescent="0.45">
      <c r="A238" s="1004">
        <v>228</v>
      </c>
      <c r="B238" s="1005" t="s">
        <v>937</v>
      </c>
      <c r="C238" s="988" t="s">
        <v>943</v>
      </c>
      <c r="D238" s="989"/>
    </row>
    <row r="239" spans="1:4" x14ac:dyDescent="0.45">
      <c r="A239" s="1004">
        <v>229</v>
      </c>
      <c r="B239" s="1005" t="s">
        <v>937</v>
      </c>
      <c r="C239" s="988" t="s">
        <v>944</v>
      </c>
      <c r="D239" s="989"/>
    </row>
    <row r="240" spans="1:4" x14ac:dyDescent="0.45">
      <c r="A240" s="1004">
        <v>230</v>
      </c>
      <c r="B240" s="1005" t="s">
        <v>937</v>
      </c>
      <c r="C240" s="988" t="s">
        <v>945</v>
      </c>
      <c r="D240" s="989"/>
    </row>
    <row r="241" spans="1:4" x14ac:dyDescent="0.45">
      <c r="A241" s="1004">
        <v>231</v>
      </c>
      <c r="B241" s="1005" t="s">
        <v>937</v>
      </c>
      <c r="C241" s="988" t="s">
        <v>946</v>
      </c>
      <c r="D241" s="989"/>
    </row>
    <row r="242" spans="1:4" x14ac:dyDescent="0.45">
      <c r="A242" s="1004">
        <v>232</v>
      </c>
      <c r="B242" s="1005" t="s">
        <v>937</v>
      </c>
      <c r="C242" s="988" t="s">
        <v>947</v>
      </c>
      <c r="D242" s="989"/>
    </row>
    <row r="243" spans="1:4" x14ac:dyDescent="0.45">
      <c r="A243" s="1004">
        <v>233</v>
      </c>
      <c r="B243" s="1005" t="s">
        <v>937</v>
      </c>
      <c r="C243" s="988" t="s">
        <v>948</v>
      </c>
      <c r="D243" s="989"/>
    </row>
    <row r="244" spans="1:4" x14ac:dyDescent="0.45">
      <c r="A244" s="1008">
        <v>234</v>
      </c>
      <c r="B244" s="1009" t="s">
        <v>937</v>
      </c>
      <c r="C244" s="992" t="s">
        <v>949</v>
      </c>
      <c r="D244" s="993"/>
    </row>
    <row r="245" spans="1:4" x14ac:dyDescent="0.45">
      <c r="A245" s="982">
        <v>235</v>
      </c>
      <c r="B245" s="983">
        <v>20</v>
      </c>
      <c r="C245" s="984" t="s">
        <v>950</v>
      </c>
      <c r="D245" s="985"/>
    </row>
    <row r="246" spans="1:4" x14ac:dyDescent="0.45">
      <c r="A246" s="986">
        <v>236</v>
      </c>
      <c r="B246" s="987">
        <v>20</v>
      </c>
      <c r="C246" s="988" t="s">
        <v>951</v>
      </c>
      <c r="D246" s="989"/>
    </row>
    <row r="247" spans="1:4" x14ac:dyDescent="0.45">
      <c r="A247" s="986">
        <v>237</v>
      </c>
      <c r="B247" s="987">
        <v>20</v>
      </c>
      <c r="C247" s="988" t="s">
        <v>952</v>
      </c>
      <c r="D247" s="989"/>
    </row>
    <row r="248" spans="1:4" x14ac:dyDescent="0.45">
      <c r="A248" s="986">
        <v>238</v>
      </c>
      <c r="B248" s="987">
        <v>20</v>
      </c>
      <c r="C248" s="988" t="s">
        <v>953</v>
      </c>
      <c r="D248" s="989"/>
    </row>
    <row r="249" spans="1:4" x14ac:dyDescent="0.45">
      <c r="A249" s="986">
        <v>239</v>
      </c>
      <c r="B249" s="987">
        <v>20</v>
      </c>
      <c r="C249" s="988" t="s">
        <v>954</v>
      </c>
      <c r="D249" s="989"/>
    </row>
    <row r="250" spans="1:4" x14ac:dyDescent="0.45">
      <c r="A250" s="986">
        <v>240</v>
      </c>
      <c r="B250" s="987">
        <v>20</v>
      </c>
      <c r="C250" s="988" t="s">
        <v>955</v>
      </c>
      <c r="D250" s="989"/>
    </row>
    <row r="251" spans="1:4" x14ac:dyDescent="0.45">
      <c r="A251" s="986">
        <v>241</v>
      </c>
      <c r="B251" s="987">
        <v>20</v>
      </c>
      <c r="C251" s="988" t="s">
        <v>956</v>
      </c>
      <c r="D251" s="989"/>
    </row>
    <row r="252" spans="1:4" x14ac:dyDescent="0.45">
      <c r="A252" s="986">
        <v>242</v>
      </c>
      <c r="B252" s="987">
        <v>20</v>
      </c>
      <c r="C252" s="988" t="s">
        <v>957</v>
      </c>
      <c r="D252" s="989"/>
    </row>
    <row r="253" spans="1:4" x14ac:dyDescent="0.45">
      <c r="A253" s="986">
        <v>243</v>
      </c>
      <c r="B253" s="987">
        <v>20</v>
      </c>
      <c r="C253" s="988" t="s">
        <v>958</v>
      </c>
      <c r="D253" s="989"/>
    </row>
    <row r="254" spans="1:4" x14ac:dyDescent="0.45">
      <c r="A254" s="986">
        <v>244</v>
      </c>
      <c r="B254" s="987">
        <v>20</v>
      </c>
      <c r="C254" s="988" t="s">
        <v>959</v>
      </c>
      <c r="D254" s="989"/>
    </row>
    <row r="255" spans="1:4" x14ac:dyDescent="0.45">
      <c r="A255" s="986">
        <v>245</v>
      </c>
      <c r="B255" s="987">
        <v>20</v>
      </c>
      <c r="C255" s="988" t="s">
        <v>960</v>
      </c>
      <c r="D255" s="989"/>
    </row>
    <row r="256" spans="1:4" x14ac:dyDescent="0.45">
      <c r="A256" s="986">
        <v>246</v>
      </c>
      <c r="B256" s="987">
        <v>20</v>
      </c>
      <c r="C256" s="988" t="s">
        <v>961</v>
      </c>
      <c r="D256" s="989"/>
    </row>
    <row r="257" spans="1:4" x14ac:dyDescent="0.45">
      <c r="A257" s="986">
        <v>247</v>
      </c>
      <c r="B257" s="987">
        <v>20</v>
      </c>
      <c r="C257" s="988" t="s">
        <v>962</v>
      </c>
      <c r="D257" s="989"/>
    </row>
    <row r="258" spans="1:4" x14ac:dyDescent="0.45">
      <c r="A258" s="986">
        <v>248</v>
      </c>
      <c r="B258" s="987">
        <v>20</v>
      </c>
      <c r="C258" s="988" t="s">
        <v>963</v>
      </c>
      <c r="D258" s="989"/>
    </row>
    <row r="259" spans="1:4" x14ac:dyDescent="0.45">
      <c r="A259" s="986">
        <v>249</v>
      </c>
      <c r="B259" s="987">
        <v>20</v>
      </c>
      <c r="C259" s="988" t="s">
        <v>964</v>
      </c>
      <c r="D259" s="989"/>
    </row>
    <row r="260" spans="1:4" x14ac:dyDescent="0.45">
      <c r="A260" s="986">
        <v>250</v>
      </c>
      <c r="B260" s="987">
        <v>20</v>
      </c>
      <c r="C260" s="988" t="s">
        <v>965</v>
      </c>
      <c r="D260" s="989"/>
    </row>
    <row r="261" spans="1:4" x14ac:dyDescent="0.45">
      <c r="A261" s="986">
        <v>251</v>
      </c>
      <c r="B261" s="987">
        <v>20</v>
      </c>
      <c r="C261" s="988" t="s">
        <v>966</v>
      </c>
      <c r="D261" s="989"/>
    </row>
    <row r="262" spans="1:4" x14ac:dyDescent="0.45">
      <c r="A262" s="986">
        <v>252</v>
      </c>
      <c r="B262" s="987">
        <v>20</v>
      </c>
      <c r="C262" s="988" t="s">
        <v>967</v>
      </c>
      <c r="D262" s="989"/>
    </row>
    <row r="263" spans="1:4" x14ac:dyDescent="0.45">
      <c r="A263" s="986">
        <v>253</v>
      </c>
      <c r="B263" s="987">
        <v>20</v>
      </c>
      <c r="C263" s="988" t="s">
        <v>968</v>
      </c>
      <c r="D263" s="989"/>
    </row>
    <row r="264" spans="1:4" x14ac:dyDescent="0.45">
      <c r="A264" s="1010">
        <v>254</v>
      </c>
      <c r="B264" s="1011">
        <v>20</v>
      </c>
      <c r="C264" s="1012" t="s">
        <v>969</v>
      </c>
      <c r="D264" s="1013"/>
    </row>
    <row r="265" spans="1:4" x14ac:dyDescent="0.45">
      <c r="A265" s="949"/>
      <c r="B265" s="949"/>
      <c r="C265" s="949"/>
      <c r="D265" s="1014"/>
    </row>
    <row r="266" spans="1:4" x14ac:dyDescent="0.45">
      <c r="A266" s="949"/>
      <c r="B266" s="949"/>
      <c r="C266" s="949"/>
    </row>
    <row r="267" spans="1:4" x14ac:dyDescent="0.45">
      <c r="A267" s="949"/>
      <c r="B267" s="949"/>
      <c r="C267" s="949"/>
    </row>
    <row r="268" spans="1:4" x14ac:dyDescent="0.45">
      <c r="A268" s="949"/>
      <c r="B268" s="949"/>
      <c r="C268" s="949"/>
    </row>
    <row r="269" spans="1:4" x14ac:dyDescent="0.45">
      <c r="A269" s="949"/>
      <c r="B269" s="949"/>
      <c r="C269" s="949"/>
    </row>
    <row r="270" spans="1:4" x14ac:dyDescent="0.45">
      <c r="A270" s="949"/>
      <c r="B270" s="949"/>
      <c r="C270" s="949"/>
    </row>
    <row r="271" spans="1:4" x14ac:dyDescent="0.45">
      <c r="A271" s="949"/>
      <c r="B271" s="949"/>
      <c r="C271" s="949"/>
    </row>
    <row r="272" spans="1:4" x14ac:dyDescent="0.45">
      <c r="A272" s="949"/>
      <c r="B272" s="949"/>
      <c r="C272" s="949"/>
    </row>
    <row r="273" s="949" customFormat="1" x14ac:dyDescent="0.45"/>
    <row r="274" s="949" customFormat="1" x14ac:dyDescent="0.45"/>
    <row r="275" s="949" customFormat="1" x14ac:dyDescent="0.45"/>
    <row r="276" s="949" customFormat="1" x14ac:dyDescent="0.45"/>
    <row r="277" s="949" customFormat="1" x14ac:dyDescent="0.45"/>
    <row r="278" s="949" customFormat="1" x14ac:dyDescent="0.45"/>
    <row r="279" s="949" customFormat="1" x14ac:dyDescent="0.45"/>
    <row r="280" s="949" customFormat="1" x14ac:dyDescent="0.45"/>
    <row r="281" s="949" customFormat="1" x14ac:dyDescent="0.45"/>
    <row r="282" s="949" customFormat="1" x14ac:dyDescent="0.45"/>
    <row r="283" s="949" customFormat="1" x14ac:dyDescent="0.45"/>
    <row r="284" s="949" customFormat="1" x14ac:dyDescent="0.45"/>
    <row r="285" s="949" customFormat="1" x14ac:dyDescent="0.45"/>
    <row r="286" s="949" customFormat="1" x14ac:dyDescent="0.45"/>
    <row r="287" s="949" customFormat="1" x14ac:dyDescent="0.45"/>
    <row r="288" s="949" customFormat="1" x14ac:dyDescent="0.45"/>
    <row r="289" s="949" customFormat="1" x14ac:dyDescent="0.45"/>
    <row r="290" s="949" customFormat="1" x14ac:dyDescent="0.45"/>
    <row r="291" s="949" customFormat="1" x14ac:dyDescent="0.45"/>
    <row r="292" s="949" customFormat="1" x14ac:dyDescent="0.45"/>
    <row r="293" s="949" customFormat="1" x14ac:dyDescent="0.45"/>
    <row r="294" s="949" customFormat="1" x14ac:dyDescent="0.45"/>
    <row r="295" s="949" customFormat="1" x14ac:dyDescent="0.45"/>
    <row r="296" s="949" customFormat="1" x14ac:dyDescent="0.45"/>
    <row r="297" s="949" customFormat="1" x14ac:dyDescent="0.45"/>
    <row r="298" s="949" customFormat="1" x14ac:dyDescent="0.45"/>
    <row r="299" s="949" customFormat="1" x14ac:dyDescent="0.45"/>
    <row r="300" s="949" customFormat="1" x14ac:dyDescent="0.45"/>
    <row r="301" s="949" customFormat="1" x14ac:dyDescent="0.45"/>
    <row r="302" s="949" customFormat="1" x14ac:dyDescent="0.45"/>
    <row r="303" s="949" customFormat="1" x14ac:dyDescent="0.45"/>
    <row r="304" s="949" customFormat="1" x14ac:dyDescent="0.45"/>
    <row r="305" s="949" customFormat="1" x14ac:dyDescent="0.45"/>
    <row r="306" s="949" customFormat="1" x14ac:dyDescent="0.45"/>
    <row r="307" s="949" customFormat="1" x14ac:dyDescent="0.45"/>
    <row r="308" s="949" customFormat="1" x14ac:dyDescent="0.45"/>
    <row r="309" s="949" customFormat="1" x14ac:dyDescent="0.45"/>
    <row r="310" s="949" customFormat="1" x14ac:dyDescent="0.45"/>
    <row r="311" s="949" customFormat="1" x14ac:dyDescent="0.45"/>
    <row r="312" s="949" customFormat="1" x14ac:dyDescent="0.45"/>
    <row r="313" s="949" customFormat="1" x14ac:dyDescent="0.45"/>
    <row r="314" s="949" customFormat="1" x14ac:dyDescent="0.45"/>
    <row r="315" s="949" customFormat="1" x14ac:dyDescent="0.45"/>
    <row r="316" s="949" customFormat="1" x14ac:dyDescent="0.45"/>
    <row r="317" s="949" customFormat="1" x14ac:dyDescent="0.45"/>
    <row r="318" s="949" customFormat="1" x14ac:dyDescent="0.45"/>
    <row r="319" s="949" customFormat="1" x14ac:dyDescent="0.45"/>
    <row r="320" s="949" customFormat="1" x14ac:dyDescent="0.45"/>
    <row r="321" s="949" customFormat="1" x14ac:dyDescent="0.45"/>
    <row r="322" s="949" customFormat="1" x14ac:dyDescent="0.45"/>
    <row r="323" s="949" customFormat="1" x14ac:dyDescent="0.45"/>
    <row r="324" s="949" customFormat="1" x14ac:dyDescent="0.45"/>
    <row r="325" s="949" customFormat="1" x14ac:dyDescent="0.45"/>
    <row r="326" s="949" customFormat="1" x14ac:dyDescent="0.45"/>
    <row r="327" s="949" customFormat="1" x14ac:dyDescent="0.45"/>
    <row r="328" s="949" customFormat="1" x14ac:dyDescent="0.45"/>
    <row r="329" s="949" customFormat="1" x14ac:dyDescent="0.45"/>
    <row r="330" s="949" customFormat="1" x14ac:dyDescent="0.45"/>
    <row r="331" s="949" customFormat="1" x14ac:dyDescent="0.45"/>
    <row r="332" s="949" customFormat="1" x14ac:dyDescent="0.45"/>
    <row r="333" s="949" customFormat="1" x14ac:dyDescent="0.45"/>
    <row r="334" s="949" customFormat="1" x14ac:dyDescent="0.45"/>
    <row r="335" s="949" customFormat="1" x14ac:dyDescent="0.45"/>
    <row r="336" s="949" customFormat="1" x14ac:dyDescent="0.45"/>
    <row r="337" s="949" customFormat="1" x14ac:dyDescent="0.45"/>
    <row r="338" s="949" customFormat="1" x14ac:dyDescent="0.45"/>
    <row r="339" s="949" customFormat="1" x14ac:dyDescent="0.45"/>
    <row r="340" s="949" customFormat="1" x14ac:dyDescent="0.45"/>
    <row r="341" s="949" customFormat="1" x14ac:dyDescent="0.45"/>
    <row r="342" s="949" customFormat="1" x14ac:dyDescent="0.45"/>
    <row r="343" s="949" customFormat="1" x14ac:dyDescent="0.45"/>
    <row r="344" s="949" customFormat="1" x14ac:dyDescent="0.45"/>
    <row r="345" s="949" customFormat="1" x14ac:dyDescent="0.45"/>
    <row r="346" s="949" customFormat="1" x14ac:dyDescent="0.45"/>
    <row r="347" s="949" customFormat="1" x14ac:dyDescent="0.45"/>
    <row r="348" s="949" customFormat="1" x14ac:dyDescent="0.45"/>
    <row r="349" s="949" customFormat="1" x14ac:dyDescent="0.45"/>
    <row r="350" s="949" customFormat="1" x14ac:dyDescent="0.45"/>
    <row r="351" s="949" customFormat="1" x14ac:dyDescent="0.45"/>
    <row r="352" s="949" customFormat="1" x14ac:dyDescent="0.45"/>
    <row r="353" s="949" customFormat="1" x14ac:dyDescent="0.45"/>
    <row r="354" s="949" customFormat="1" x14ac:dyDescent="0.45"/>
    <row r="355" s="949" customFormat="1" x14ac:dyDescent="0.45"/>
    <row r="356" s="949" customFormat="1" x14ac:dyDescent="0.45"/>
    <row r="357" s="949" customFormat="1" x14ac:dyDescent="0.45"/>
    <row r="358" s="949" customFormat="1" x14ac:dyDescent="0.45"/>
    <row r="359" s="949" customFormat="1" x14ac:dyDescent="0.45"/>
    <row r="360" s="949" customFormat="1" x14ac:dyDescent="0.45"/>
    <row r="361" s="949" customFormat="1" x14ac:dyDescent="0.45"/>
    <row r="362" s="949" customFormat="1" x14ac:dyDescent="0.45"/>
    <row r="363" s="949" customFormat="1" x14ac:dyDescent="0.45"/>
    <row r="364" s="949" customFormat="1" x14ac:dyDescent="0.45"/>
    <row r="365" s="949" customFormat="1" x14ac:dyDescent="0.45"/>
    <row r="366" s="949" customFormat="1" x14ac:dyDescent="0.45"/>
    <row r="367" s="949" customFormat="1" x14ac:dyDescent="0.45"/>
    <row r="368" s="949" customFormat="1" x14ac:dyDescent="0.45"/>
    <row r="369" s="949" customFormat="1" x14ac:dyDescent="0.45"/>
    <row r="370" s="949" customFormat="1" x14ac:dyDescent="0.45"/>
    <row r="371" s="949" customFormat="1" x14ac:dyDescent="0.45"/>
    <row r="372" s="949" customFormat="1" x14ac:dyDescent="0.45"/>
    <row r="373" s="949" customFormat="1" x14ac:dyDescent="0.45"/>
    <row r="374" s="949" customFormat="1" x14ac:dyDescent="0.45"/>
    <row r="375" s="949" customFormat="1" x14ac:dyDescent="0.45"/>
    <row r="376" s="949" customFormat="1" x14ac:dyDescent="0.45"/>
    <row r="377" s="949" customFormat="1" x14ac:dyDescent="0.45"/>
    <row r="378" s="949" customFormat="1" x14ac:dyDescent="0.45"/>
    <row r="379" s="949" customFormat="1" x14ac:dyDescent="0.45"/>
    <row r="380" s="949" customFormat="1" x14ac:dyDescent="0.45"/>
    <row r="381" s="949" customFormat="1" x14ac:dyDescent="0.45"/>
    <row r="382" s="949" customFormat="1" x14ac:dyDescent="0.45"/>
    <row r="383" s="949" customFormat="1" x14ac:dyDescent="0.45"/>
    <row r="384" s="949" customFormat="1" x14ac:dyDescent="0.45"/>
    <row r="385" s="949" customFormat="1" x14ac:dyDescent="0.45"/>
    <row r="386" s="949" customFormat="1" x14ac:dyDescent="0.45"/>
    <row r="387" s="949" customFormat="1" x14ac:dyDescent="0.45"/>
    <row r="388" s="949" customFormat="1" x14ac:dyDescent="0.45"/>
    <row r="389" s="949" customFormat="1" x14ac:dyDescent="0.45"/>
    <row r="390" s="949" customFormat="1" x14ac:dyDescent="0.45"/>
    <row r="391" s="949" customFormat="1" x14ac:dyDescent="0.45"/>
    <row r="392" s="949" customFormat="1" x14ac:dyDescent="0.45"/>
    <row r="393" s="949" customFormat="1" x14ac:dyDescent="0.45"/>
    <row r="394" s="949" customFormat="1" x14ac:dyDescent="0.45"/>
    <row r="395" s="949" customFormat="1" x14ac:dyDescent="0.45"/>
    <row r="396" s="949" customFormat="1" x14ac:dyDescent="0.45"/>
    <row r="397" s="949" customFormat="1" x14ac:dyDescent="0.45"/>
    <row r="398" s="949" customFormat="1" x14ac:dyDescent="0.45"/>
    <row r="399" s="949" customFormat="1" x14ac:dyDescent="0.45"/>
    <row r="400" s="949" customFormat="1" x14ac:dyDescent="0.45"/>
    <row r="401" s="949" customFormat="1" x14ac:dyDescent="0.45"/>
    <row r="402" s="949" customFormat="1" x14ac:dyDescent="0.45"/>
    <row r="403" s="949" customFormat="1" x14ac:dyDescent="0.45"/>
    <row r="404" s="949" customFormat="1" x14ac:dyDescent="0.45"/>
    <row r="405" s="949" customFormat="1" x14ac:dyDescent="0.45"/>
    <row r="406" s="949" customFormat="1" x14ac:dyDescent="0.45"/>
    <row r="407" s="949" customFormat="1" x14ac:dyDescent="0.45"/>
    <row r="408" s="949" customFormat="1" x14ac:dyDescent="0.45"/>
    <row r="409" s="949" customFormat="1" x14ac:dyDescent="0.45"/>
    <row r="410" s="949" customFormat="1" x14ac:dyDescent="0.45"/>
    <row r="411" s="949" customFormat="1" x14ac:dyDescent="0.45"/>
    <row r="412" s="949" customFormat="1" x14ac:dyDescent="0.45"/>
    <row r="413" s="949" customFormat="1" x14ac:dyDescent="0.45"/>
    <row r="414" s="949" customFormat="1" x14ac:dyDescent="0.45"/>
    <row r="415" s="949" customFormat="1" x14ac:dyDescent="0.45"/>
    <row r="416" s="949" customFormat="1" x14ac:dyDescent="0.45"/>
    <row r="417" s="949" customFormat="1" x14ac:dyDescent="0.45"/>
    <row r="418" s="949" customFormat="1" x14ac:dyDescent="0.45"/>
    <row r="419" s="949" customFormat="1" x14ac:dyDescent="0.45"/>
    <row r="420" s="949" customFormat="1" x14ac:dyDescent="0.45"/>
    <row r="421" s="949" customFormat="1" x14ac:dyDescent="0.45"/>
    <row r="422" s="949" customFormat="1" x14ac:dyDescent="0.45"/>
    <row r="423" s="949" customFormat="1" x14ac:dyDescent="0.45"/>
    <row r="424" s="949" customFormat="1" x14ac:dyDescent="0.45"/>
    <row r="425" s="949" customFormat="1" x14ac:dyDescent="0.45"/>
    <row r="426" s="949" customFormat="1" x14ac:dyDescent="0.45"/>
    <row r="427" s="949" customFormat="1" x14ac:dyDescent="0.45"/>
    <row r="428" s="949" customFormat="1" x14ac:dyDescent="0.45"/>
    <row r="429" s="949" customFormat="1" x14ac:dyDescent="0.45"/>
    <row r="430" s="949" customFormat="1" x14ac:dyDescent="0.45"/>
    <row r="431" s="949" customFormat="1" x14ac:dyDescent="0.45"/>
    <row r="432" s="949" customFormat="1" x14ac:dyDescent="0.45"/>
    <row r="433" s="949" customFormat="1" x14ac:dyDescent="0.45"/>
    <row r="434" s="949" customFormat="1" x14ac:dyDescent="0.45"/>
    <row r="435" s="949" customFormat="1" x14ac:dyDescent="0.45"/>
    <row r="436" s="949" customFormat="1" x14ac:dyDescent="0.45"/>
    <row r="437" s="949" customFormat="1" x14ac:dyDescent="0.45"/>
    <row r="438" s="949" customFormat="1" x14ac:dyDescent="0.45"/>
    <row r="439" s="949" customFormat="1" x14ac:dyDescent="0.45"/>
    <row r="440" s="949" customFormat="1" x14ac:dyDescent="0.45"/>
    <row r="441" s="949" customFormat="1" x14ac:dyDescent="0.45"/>
    <row r="442" s="949" customFormat="1" x14ac:dyDescent="0.45"/>
    <row r="443" s="949" customFormat="1" x14ac:dyDescent="0.45"/>
    <row r="444" s="949" customFormat="1" x14ac:dyDescent="0.45"/>
    <row r="445" s="949" customFormat="1" x14ac:dyDescent="0.45"/>
    <row r="446" s="949" customFormat="1" x14ac:dyDescent="0.45"/>
    <row r="447" s="949" customFormat="1" x14ac:dyDescent="0.45"/>
    <row r="448" s="949" customFormat="1" x14ac:dyDescent="0.45"/>
    <row r="449" s="949" customFormat="1" x14ac:dyDescent="0.45"/>
    <row r="450" s="949" customFormat="1" x14ac:dyDescent="0.45"/>
    <row r="451" s="949" customFormat="1" x14ac:dyDescent="0.45"/>
    <row r="452" s="949" customFormat="1" x14ac:dyDescent="0.45"/>
    <row r="453" s="949" customFormat="1" x14ac:dyDescent="0.45"/>
    <row r="454" s="949" customFormat="1" x14ac:dyDescent="0.45"/>
    <row r="455" s="949" customFormat="1" x14ac:dyDescent="0.45"/>
    <row r="456" s="949" customFormat="1" x14ac:dyDescent="0.45"/>
    <row r="457" s="949" customFormat="1" x14ac:dyDescent="0.45"/>
    <row r="458" s="949" customFormat="1" x14ac:dyDescent="0.45"/>
    <row r="459" s="949" customFormat="1" x14ac:dyDescent="0.45"/>
    <row r="460" s="949" customFormat="1" x14ac:dyDescent="0.45"/>
    <row r="461" s="949" customFormat="1" x14ac:dyDescent="0.45"/>
    <row r="462" s="949" customFormat="1" x14ac:dyDescent="0.45"/>
    <row r="463" s="949" customFormat="1" x14ac:dyDescent="0.45"/>
    <row r="464" s="949" customFormat="1" x14ac:dyDescent="0.45"/>
    <row r="465" s="949" customFormat="1" x14ac:dyDescent="0.45"/>
    <row r="466" s="949" customFormat="1" x14ac:dyDescent="0.45"/>
    <row r="467" s="949" customFormat="1" x14ac:dyDescent="0.45"/>
    <row r="468" s="949" customFormat="1" x14ac:dyDescent="0.45"/>
    <row r="469" s="949" customFormat="1" x14ac:dyDescent="0.45"/>
    <row r="470" s="949" customFormat="1" x14ac:dyDescent="0.45"/>
    <row r="471" s="949" customFormat="1" x14ac:dyDescent="0.45"/>
    <row r="472" s="949" customFormat="1" x14ac:dyDescent="0.45"/>
    <row r="473" s="949" customFormat="1" x14ac:dyDescent="0.45"/>
    <row r="474" s="949" customFormat="1" x14ac:dyDescent="0.45"/>
    <row r="475" s="949" customFormat="1" x14ac:dyDescent="0.45"/>
    <row r="476" s="949" customFormat="1" x14ac:dyDescent="0.45"/>
    <row r="477" s="949" customFormat="1" x14ac:dyDescent="0.45"/>
    <row r="478" s="949" customFormat="1" x14ac:dyDescent="0.45"/>
    <row r="479" s="949" customFormat="1" x14ac:dyDescent="0.45"/>
    <row r="480" s="949" customFormat="1" x14ac:dyDescent="0.45"/>
    <row r="481" spans="1:3" x14ac:dyDescent="0.45">
      <c r="A481" s="949"/>
      <c r="B481" s="949"/>
      <c r="C481" s="949"/>
    </row>
    <row r="482" spans="1:3" x14ac:dyDescent="0.45">
      <c r="A482" s="949"/>
      <c r="B482" s="949"/>
      <c r="C482" s="949"/>
    </row>
    <row r="483" spans="1:3" x14ac:dyDescent="0.45">
      <c r="A483" s="949"/>
      <c r="B483" s="949"/>
      <c r="C483" s="949"/>
    </row>
    <row r="484" spans="1:3" x14ac:dyDescent="0.45">
      <c r="A484" s="949"/>
      <c r="B484" s="949"/>
      <c r="C484" s="949"/>
    </row>
    <row r="485" spans="1:3" x14ac:dyDescent="0.45">
      <c r="A485" s="949"/>
      <c r="B485" s="949"/>
      <c r="C485" s="949"/>
    </row>
    <row r="486" spans="1:3" x14ac:dyDescent="0.45">
      <c r="A486" s="949"/>
      <c r="B486" s="949"/>
      <c r="C486" s="949"/>
    </row>
    <row r="487" spans="1:3" x14ac:dyDescent="0.45">
      <c r="A487" s="949"/>
      <c r="B487" s="949"/>
      <c r="C487" s="949"/>
    </row>
    <row r="488" spans="1:3" x14ac:dyDescent="0.45">
      <c r="A488" s="949"/>
      <c r="B488" s="949"/>
      <c r="C488" s="949"/>
    </row>
    <row r="489" spans="1:3" x14ac:dyDescent="0.45">
      <c r="A489" s="949"/>
      <c r="B489" s="949"/>
      <c r="C489" s="949"/>
    </row>
    <row r="490" spans="1:3" x14ac:dyDescent="0.45">
      <c r="A490" s="949"/>
      <c r="B490" s="949"/>
      <c r="C490" s="949"/>
    </row>
    <row r="491" spans="1:3" x14ac:dyDescent="0.45">
      <c r="A491" s="949"/>
      <c r="B491" s="949"/>
      <c r="C491" s="949"/>
    </row>
    <row r="492" spans="1:3" x14ac:dyDescent="0.45">
      <c r="A492" s="949"/>
      <c r="B492" s="949"/>
    </row>
    <row r="493" spans="1:3" x14ac:dyDescent="0.45">
      <c r="A493" s="949"/>
      <c r="B493" s="949"/>
    </row>
    <row r="494" spans="1:3" x14ac:dyDescent="0.45">
      <c r="A494" s="949"/>
      <c r="B494" s="949"/>
    </row>
    <row r="495" spans="1:3" x14ac:dyDescent="0.45">
      <c r="A495" s="949"/>
      <c r="B495" s="949"/>
    </row>
    <row r="496" spans="1:3" x14ac:dyDescent="0.45">
      <c r="A496" s="949"/>
      <c r="B496" s="949"/>
    </row>
    <row r="497" spans="1:5" x14ac:dyDescent="0.45">
      <c r="A497" s="949"/>
      <c r="B497" s="949"/>
    </row>
    <row r="498" spans="1:5" x14ac:dyDescent="0.45">
      <c r="A498" s="949"/>
      <c r="B498" s="949"/>
    </row>
    <row r="499" spans="1:5" x14ac:dyDescent="0.45">
      <c r="A499" s="949"/>
      <c r="B499" s="949"/>
    </row>
    <row r="500" spans="1:5" x14ac:dyDescent="0.45">
      <c r="A500" s="949"/>
      <c r="B500" s="949"/>
    </row>
    <row r="501" spans="1:5" s="1015" customFormat="1" x14ac:dyDescent="0.45">
      <c r="A501" s="949"/>
      <c r="B501" s="949"/>
      <c r="D501" s="949"/>
      <c r="E501" s="949"/>
    </row>
    <row r="502" spans="1:5" s="1015" customFormat="1" x14ac:dyDescent="0.45">
      <c r="A502" s="949"/>
      <c r="B502" s="949"/>
      <c r="D502" s="949"/>
      <c r="E502" s="949"/>
    </row>
    <row r="503" spans="1:5" s="1015" customFormat="1" x14ac:dyDescent="0.45">
      <c r="A503" s="949"/>
      <c r="B503" s="949"/>
      <c r="D503" s="949"/>
      <c r="E503" s="949"/>
    </row>
    <row r="504" spans="1:5" s="1015" customFormat="1" x14ac:dyDescent="0.45">
      <c r="A504" s="949"/>
      <c r="B504" s="949"/>
      <c r="D504" s="949"/>
      <c r="E504" s="949"/>
    </row>
    <row r="505" spans="1:5" s="1015" customFormat="1" x14ac:dyDescent="0.45">
      <c r="A505" s="949"/>
      <c r="B505" s="949"/>
      <c r="D505" s="949"/>
      <c r="E505" s="949"/>
    </row>
    <row r="506" spans="1:5" s="1015" customFormat="1" x14ac:dyDescent="0.45">
      <c r="A506" s="949"/>
      <c r="B506" s="949"/>
      <c r="D506" s="949"/>
      <c r="E506" s="949"/>
    </row>
    <row r="507" spans="1:5" s="1015" customFormat="1" x14ac:dyDescent="0.45">
      <c r="A507" s="949"/>
      <c r="B507" s="949"/>
      <c r="D507" s="949"/>
      <c r="E507" s="949"/>
    </row>
    <row r="508" spans="1:5" s="1015" customFormat="1" x14ac:dyDescent="0.45">
      <c r="A508" s="949"/>
      <c r="B508" s="949"/>
      <c r="D508" s="949"/>
      <c r="E508" s="949"/>
    </row>
    <row r="509" spans="1:5" s="1015" customFormat="1" x14ac:dyDescent="0.45">
      <c r="A509" s="949"/>
      <c r="B509" s="949"/>
      <c r="D509" s="949"/>
      <c r="E509" s="949"/>
    </row>
    <row r="510" spans="1:5" s="1015" customFormat="1" x14ac:dyDescent="0.45">
      <c r="A510" s="949"/>
      <c r="B510" s="949"/>
      <c r="D510" s="949"/>
      <c r="E510" s="949"/>
    </row>
    <row r="511" spans="1:5" s="1015" customFormat="1" x14ac:dyDescent="0.45">
      <c r="A511" s="949"/>
      <c r="B511" s="949"/>
      <c r="D511" s="949"/>
      <c r="E511" s="949"/>
    </row>
    <row r="512" spans="1:5" s="1015" customFormat="1" x14ac:dyDescent="0.45">
      <c r="A512" s="949"/>
      <c r="B512" s="949"/>
      <c r="D512" s="949"/>
      <c r="E512" s="949"/>
    </row>
    <row r="513" spans="1:5" s="1015" customFormat="1" x14ac:dyDescent="0.45">
      <c r="A513" s="949"/>
      <c r="B513" s="949"/>
      <c r="D513" s="949"/>
      <c r="E513" s="949"/>
    </row>
    <row r="514" spans="1:5" s="1015" customFormat="1" x14ac:dyDescent="0.45">
      <c r="A514" s="949"/>
      <c r="B514" s="949"/>
      <c r="D514" s="949"/>
      <c r="E514" s="949"/>
    </row>
    <row r="515" spans="1:5" s="1015" customFormat="1" x14ac:dyDescent="0.45">
      <c r="A515" s="949"/>
      <c r="B515" s="949"/>
      <c r="D515" s="949"/>
      <c r="E515" s="949"/>
    </row>
    <row r="516" spans="1:5" s="1015" customFormat="1" x14ac:dyDescent="0.45">
      <c r="A516" s="949"/>
      <c r="B516" s="949"/>
      <c r="D516" s="949"/>
      <c r="E516" s="949"/>
    </row>
    <row r="517" spans="1:5" s="1015" customFormat="1" x14ac:dyDescent="0.45">
      <c r="A517" s="949"/>
      <c r="B517" s="949"/>
      <c r="D517" s="949"/>
      <c r="E517" s="949"/>
    </row>
    <row r="518" spans="1:5" s="1015" customFormat="1" x14ac:dyDescent="0.45">
      <c r="A518" s="949"/>
      <c r="B518" s="949"/>
      <c r="D518" s="949"/>
      <c r="E518" s="949"/>
    </row>
    <row r="519" spans="1:5" s="1015" customFormat="1" x14ac:dyDescent="0.45">
      <c r="A519" s="949"/>
      <c r="B519" s="949"/>
      <c r="D519" s="949"/>
      <c r="E519" s="949"/>
    </row>
  </sheetData>
  <sheetProtection sheet="1" objects="1" scenarios="1"/>
  <mergeCells count="2">
    <mergeCell ref="A7:D8"/>
    <mergeCell ref="A5:D5"/>
  </mergeCells>
  <conditionalFormatting sqref="D11:D264">
    <cfRule type="expression" dxfId="0" priority="1">
      <formula>$D11=""</formula>
    </cfRule>
  </conditionalFormatting>
  <printOptions horizontalCentered="1"/>
  <pageMargins left="0.25" right="0.25" top="0.75" bottom="0.75" header="0.3" footer="0.3"/>
  <pageSetup scale="95" fitToHeight="4"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H47"/>
  <sheetViews>
    <sheetView tabSelected="1" zoomScaleNormal="100" workbookViewId="0">
      <selection activeCell="B12" sqref="B12:C12"/>
    </sheetView>
  </sheetViews>
  <sheetFormatPr defaultColWidth="9.109375" defaultRowHeight="19.2" x14ac:dyDescent="0.45"/>
  <cols>
    <col min="1" max="1" width="33.6640625" style="257" customWidth="1"/>
    <col min="2" max="2" width="14" style="257" customWidth="1"/>
    <col min="3" max="4" width="11.6640625" style="257" customWidth="1"/>
    <col min="5" max="5" width="8.88671875" style="257" customWidth="1"/>
    <col min="6" max="6" width="13.33203125" style="257" customWidth="1"/>
    <col min="7" max="7" width="11.5546875" style="257" customWidth="1"/>
    <col min="8" max="9" width="8.88671875" style="257" customWidth="1"/>
    <col min="10" max="16384" width="9.109375" style="257"/>
  </cols>
  <sheetData>
    <row r="1" spans="1:8" x14ac:dyDescent="0.45">
      <c r="A1" s="263" t="s">
        <v>136</v>
      </c>
    </row>
    <row r="2" spans="1:8" x14ac:dyDescent="0.45">
      <c r="A2" s="263" t="s">
        <v>137</v>
      </c>
      <c r="D2" s="160" t="s">
        <v>97</v>
      </c>
      <c r="E2" s="1131" t="str">
        <f>IF('General Information'!$B$10="","Fill out Gen Info",'General Information'!$B$10)</f>
        <v>Fill out Gen Info</v>
      </c>
      <c r="F2" s="1131"/>
    </row>
    <row r="3" spans="1:8" x14ac:dyDescent="0.45">
      <c r="A3" s="227" t="s">
        <v>970</v>
      </c>
      <c r="D3" s="160" t="s">
        <v>98</v>
      </c>
      <c r="E3" s="1131" t="str">
        <f>IF('General Information'!$B$12="","Fill out Gen Info",'General Information'!$B$12)</f>
        <v>Fill out Gen Info</v>
      </c>
      <c r="F3" s="1131"/>
    </row>
    <row r="5" spans="1:8" x14ac:dyDescent="0.45">
      <c r="A5" s="1132" t="s">
        <v>69</v>
      </c>
      <c r="B5" s="1133"/>
      <c r="C5" s="1133"/>
      <c r="D5" s="1133"/>
      <c r="E5" s="1133"/>
      <c r="F5" s="1133"/>
    </row>
    <row r="6" spans="1:8" x14ac:dyDescent="0.45">
      <c r="A6" s="264"/>
    </row>
    <row r="7" spans="1:8" x14ac:dyDescent="0.45">
      <c r="A7" s="1135" t="s">
        <v>138</v>
      </c>
      <c r="B7" s="1135"/>
      <c r="C7" s="1135"/>
      <c r="D7" s="1135"/>
      <c r="E7" s="1135"/>
      <c r="F7" s="1135"/>
    </row>
    <row r="8" spans="1:8" x14ac:dyDescent="0.45">
      <c r="A8" s="1140" t="s">
        <v>139</v>
      </c>
      <c r="B8" s="1140"/>
      <c r="C8" s="1140"/>
      <c r="D8" s="1140"/>
      <c r="E8" s="1140"/>
      <c r="F8" s="1140"/>
    </row>
    <row r="9" spans="1:8" x14ac:dyDescent="0.45">
      <c r="A9" s="262"/>
      <c r="B9" s="262"/>
      <c r="C9" s="262"/>
      <c r="D9" s="262"/>
      <c r="E9" s="262"/>
      <c r="F9" s="262"/>
    </row>
    <row r="10" spans="1:8" x14ac:dyDescent="0.45">
      <c r="A10" s="1134" t="s">
        <v>140</v>
      </c>
      <c r="B10" s="1138"/>
      <c r="C10" s="1139"/>
    </row>
    <row r="11" spans="1:8" x14ac:dyDescent="0.45">
      <c r="A11" s="1134"/>
    </row>
    <row r="12" spans="1:8" x14ac:dyDescent="0.45">
      <c r="A12" s="257" t="s">
        <v>141</v>
      </c>
      <c r="B12" s="1136"/>
      <c r="C12" s="1137"/>
      <c r="D12" s="265"/>
    </row>
    <row r="13" spans="1:8" x14ac:dyDescent="0.45">
      <c r="C13" s="266"/>
    </row>
    <row r="14" spans="1:8" x14ac:dyDescent="0.45">
      <c r="A14" s="257" t="s">
        <v>142</v>
      </c>
      <c r="B14" s="1138"/>
      <c r="C14" s="1139"/>
    </row>
    <row r="15" spans="1:8" x14ac:dyDescent="0.45">
      <c r="H15" s="1103"/>
    </row>
    <row r="16" spans="1:8" x14ac:dyDescent="0.45">
      <c r="A16" s="257" t="s">
        <v>21</v>
      </c>
      <c r="B16" s="1138"/>
      <c r="C16" s="1139"/>
    </row>
    <row r="18" spans="1:8" x14ac:dyDescent="0.45">
      <c r="A18" s="257" t="s">
        <v>24</v>
      </c>
      <c r="B18" s="1138"/>
      <c r="C18" s="1139"/>
      <c r="H18" s="1103"/>
    </row>
    <row r="19" spans="1:8" x14ac:dyDescent="0.45">
      <c r="G19" s="1103"/>
      <c r="H19" s="1103"/>
    </row>
    <row r="20" spans="1:8" x14ac:dyDescent="0.45">
      <c r="A20" s="257" t="str">
        <f>TEXT("Latest ","") &amp; TEXT(IF(B16='Drop Down Lists and Formatting'!A36,"Calendar Year","Accident Year"),"") &amp; TEXT(" Ending Date:","")</f>
        <v>Latest Accident Year Ending Date:</v>
      </c>
      <c r="B20" s="267"/>
      <c r="G20" s="1103"/>
      <c r="H20" s="1103"/>
    </row>
    <row r="21" spans="1:8" x14ac:dyDescent="0.45">
      <c r="G21" s="1103"/>
      <c r="H21" s="1103"/>
    </row>
    <row r="22" spans="1:8" x14ac:dyDescent="0.45">
      <c r="A22" s="257" t="s">
        <v>143</v>
      </c>
      <c r="B22" s="267"/>
    </row>
    <row r="24" spans="1:8" x14ac:dyDescent="0.45">
      <c r="A24" s="1142" t="s">
        <v>144</v>
      </c>
      <c r="B24" s="268"/>
    </row>
    <row r="25" spans="1:8" x14ac:dyDescent="0.45">
      <c r="A25" s="1142"/>
      <c r="B25" s="267"/>
    </row>
    <row r="26" spans="1:8" x14ac:dyDescent="0.45">
      <c r="A26" s="1142" t="s">
        <v>145</v>
      </c>
      <c r="B26" s="268"/>
    </row>
    <row r="27" spans="1:8" x14ac:dyDescent="0.45">
      <c r="A27" s="1142"/>
      <c r="B27" s="267"/>
    </row>
    <row r="32" spans="1:8" x14ac:dyDescent="0.45">
      <c r="A32" s="1141" t="s">
        <v>146</v>
      </c>
      <c r="B32" s="1141"/>
      <c r="C32" s="1141"/>
      <c r="D32" s="1141"/>
      <c r="E32" s="1141"/>
      <c r="F32" s="1141"/>
    </row>
    <row r="34" spans="1:4" x14ac:dyDescent="0.45">
      <c r="A34" s="257" t="s">
        <v>147</v>
      </c>
      <c r="B34" s="270">
        <f>'1-Indication'!K29</f>
        <v>-1</v>
      </c>
    </row>
    <row r="35" spans="1:4" x14ac:dyDescent="0.45">
      <c r="A35" s="257" t="s">
        <v>148</v>
      </c>
      <c r="B35" s="271">
        <f>'1-Indication'!K31</f>
        <v>0</v>
      </c>
      <c r="C35" s="272" t="str">
        <f>IF(B35&lt;0,"",IF(B35&gt;B34,"Proposed cannot be greater than indicated!",""))</f>
        <v>Proposed cannot be greater than indicated!</v>
      </c>
    </row>
    <row r="36" spans="1:4" x14ac:dyDescent="0.45">
      <c r="B36" s="273"/>
    </row>
    <row r="37" spans="1:4" x14ac:dyDescent="0.45">
      <c r="B37" s="273"/>
    </row>
    <row r="38" spans="1:4" x14ac:dyDescent="0.45">
      <c r="A38" s="274" t="s">
        <v>149</v>
      </c>
      <c r="B38" s="275" t="s">
        <v>150</v>
      </c>
      <c r="C38" s="276" t="s">
        <v>151</v>
      </c>
      <c r="D38" s="277" t="s">
        <v>152</v>
      </c>
    </row>
    <row r="39" spans="1:4" x14ac:dyDescent="0.45">
      <c r="A39" s="257" t="s">
        <v>153</v>
      </c>
      <c r="B39" s="278">
        <f>'5B-Loss Trend'!C8</f>
        <v>0</v>
      </c>
      <c r="C39" s="279">
        <f>'4A-Premium Trend'!H38</f>
        <v>0</v>
      </c>
      <c r="D39" s="280">
        <f>'5D-Loss Ratio Trend'!D22</f>
        <v>0</v>
      </c>
    </row>
    <row r="40" spans="1:4" x14ac:dyDescent="0.45">
      <c r="A40" s="257" t="s">
        <v>154</v>
      </c>
      <c r="B40" s="281">
        <f>'5B-Loss Trend'!C9</f>
        <v>0</v>
      </c>
      <c r="C40" s="282">
        <f>'4A-Premium Trend'!H39</f>
        <v>0</v>
      </c>
      <c r="D40" s="283">
        <f>'5D-Loss Ratio Trend'!D23</f>
        <v>0</v>
      </c>
    </row>
    <row r="41" spans="1:4" x14ac:dyDescent="0.45">
      <c r="B41" s="284"/>
      <c r="C41" s="284"/>
      <c r="D41" s="284"/>
    </row>
    <row r="42" spans="1:4" x14ac:dyDescent="0.45">
      <c r="B42" s="273"/>
    </row>
    <row r="43" spans="1:4" x14ac:dyDescent="0.45">
      <c r="A43" s="257" t="s">
        <v>155</v>
      </c>
      <c r="B43" s="285">
        <f>'11-Fixed &amp; Variable Expenses'!H18</f>
        <v>0</v>
      </c>
    </row>
    <row r="44" spans="1:4" x14ac:dyDescent="0.45">
      <c r="B44" s="286"/>
    </row>
    <row r="45" spans="1:4" x14ac:dyDescent="0.45">
      <c r="B45" s="273"/>
    </row>
    <row r="46" spans="1:4" x14ac:dyDescent="0.45">
      <c r="A46" s="257" t="s">
        <v>156</v>
      </c>
      <c r="B46" s="270">
        <f>'16-Policyholder Impact'!D10</f>
        <v>0</v>
      </c>
    </row>
    <row r="47" spans="1:4" x14ac:dyDescent="0.45">
      <c r="A47" s="257" t="s">
        <v>157</v>
      </c>
      <c r="B47" s="271">
        <f>'16-Policyholder Impact'!D9</f>
        <v>0</v>
      </c>
    </row>
  </sheetData>
  <sheetProtection sheet="1" objects="1" scenarios="1"/>
  <protectedRanges>
    <protectedRange sqref="B10 B12 B16 B18 B20 B22 B25 B27 E2:F3" name="Cells_Unbroken"/>
    <protectedRange sqref="B12:C12" name="Brokenandtest"/>
  </protectedRanges>
  <mergeCells count="14">
    <mergeCell ref="B12:C12"/>
    <mergeCell ref="B10:C10"/>
    <mergeCell ref="B14:C14"/>
    <mergeCell ref="A8:F8"/>
    <mergeCell ref="A32:F32"/>
    <mergeCell ref="A26:A27"/>
    <mergeCell ref="A24:A25"/>
    <mergeCell ref="B16:C16"/>
    <mergeCell ref="B18:C18"/>
    <mergeCell ref="E2:F2"/>
    <mergeCell ref="E3:F3"/>
    <mergeCell ref="A5:F5"/>
    <mergeCell ref="A10:A11"/>
    <mergeCell ref="A7:F7"/>
  </mergeCells>
  <conditionalFormatting sqref="B10">
    <cfRule type="expression" dxfId="183" priority="6">
      <formula>$B10=""</formula>
    </cfRule>
  </conditionalFormatting>
  <conditionalFormatting sqref="B12 B20 B22 B25 B27">
    <cfRule type="expression" dxfId="182" priority="7">
      <formula>$B12=""</formula>
    </cfRule>
  </conditionalFormatting>
  <conditionalFormatting sqref="B14">
    <cfRule type="expression" dxfId="181" priority="1">
      <formula>$B14=""</formula>
    </cfRule>
  </conditionalFormatting>
  <conditionalFormatting sqref="B16 B18">
    <cfRule type="expression" dxfId="180" priority="5">
      <formula>OR($B16="Select",$B16="")</formula>
    </cfRule>
  </conditionalFormatting>
  <dataValidations count="3">
    <dataValidation type="textLength" allowBlank="1" showErrorMessage="1" errorTitle="Text Length" error="Please limit the Company Name to 18 characters.  Use a shortened name or initials, if necessary." promptTitle="Text Length" prompt="Please limit the Company Name to 18 characters.  Use a shortened name or initials, if necessary." sqref="B10:C10" xr:uid="{00000000-0002-0000-0200-000003000000}">
      <formula1>0</formula1>
      <formula2>18</formula2>
    </dataValidation>
    <dataValidation type="textLength" allowBlank="1" showInputMessage="1" showErrorMessage="1" errorTitle="Text Length" error="Please limit the Form/Peril to 18 characters.  Use a shortened name or initials, if necessary." sqref="B13:C14" xr:uid="{00000000-0002-0000-0200-000004000000}">
      <formula1>0</formula1>
      <formula2>18</formula2>
    </dataValidation>
    <dataValidation type="list" allowBlank="1" showInputMessage="1" showErrorMessage="1" sqref="B12:C12" xr:uid="{790865E1-B416-471C-8A56-AAB8E063A064}">
      <formula1>LOB</formula1>
    </dataValidation>
  </dataValidations>
  <printOptions horizontalCentered="1"/>
  <pageMargins left="0.5" right="0.5" top="0.5" bottom="0.25" header="0.3" footer="0.3"/>
  <pageSetup orientation="portrait" r:id="rId1"/>
  <rowBreaks count="1" manualBreakCount="1">
    <brk id="31" max="5" man="1"/>
  </rowBreaks>
  <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200-000000000000}">
          <x14:formula1>
            <xm:f>'Drop Down Lists and Formatting'!$A$36:$A$37</xm:f>
          </x14:formula1>
          <xm:sqref>B16:C16</xm:sqref>
        </x14:dataValidation>
        <x14:dataValidation type="list" showInputMessage="1" showErrorMessage="1" xr:uid="{00000000-0002-0000-0200-000001000000}">
          <x14:formula1>
            <xm:f>'Drop Down Lists and Formatting'!$A$40:$A$41</xm:f>
          </x14:formula1>
          <xm:sqref>B18:C18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65AC1-A788-49D2-879A-062AADF6CE9A}">
  <sheetPr codeName="Sheet20"/>
  <dimension ref="A1:I41"/>
  <sheetViews>
    <sheetView showGridLines="0" zoomScaleNormal="100" zoomScaleSheetLayoutView="55" workbookViewId="0">
      <selection activeCell="G12" sqref="G12"/>
    </sheetView>
  </sheetViews>
  <sheetFormatPr defaultColWidth="8.88671875" defaultRowHeight="19.2" x14ac:dyDescent="0.45"/>
  <cols>
    <col min="1" max="1" width="5" style="170" customWidth="1"/>
    <col min="2" max="3" width="3.109375" style="172" customWidth="1"/>
    <col min="4" max="4" width="46.33203125" style="170" customWidth="1"/>
    <col min="5" max="5" width="18.109375" style="170" customWidth="1"/>
    <col min="6" max="6" width="17.5546875" style="172" customWidth="1"/>
    <col min="7" max="7" width="10.6640625" style="159" customWidth="1"/>
    <col min="8" max="16384" width="8.88671875" style="172"/>
  </cols>
  <sheetData>
    <row r="1" spans="1:9" x14ac:dyDescent="0.45">
      <c r="A1" s="171" t="s">
        <v>136</v>
      </c>
      <c r="D1" s="158"/>
      <c r="E1" s="158"/>
      <c r="F1" s="1110"/>
      <c r="H1" s="173"/>
      <c r="I1" s="173"/>
    </row>
    <row r="2" spans="1:9" x14ac:dyDescent="0.45">
      <c r="A2" s="171" t="s">
        <v>137</v>
      </c>
      <c r="D2" s="158"/>
      <c r="E2" s="160" t="s">
        <v>97</v>
      </c>
      <c r="F2" s="1018" t="str">
        <f>'General Information'!$E$2</f>
        <v>Fill out Gen Info</v>
      </c>
      <c r="H2" s="173"/>
      <c r="I2" s="173"/>
    </row>
    <row r="3" spans="1:9" x14ac:dyDescent="0.45">
      <c r="A3" s="1023" t="s">
        <v>970</v>
      </c>
      <c r="D3" s="158"/>
      <c r="E3" s="160" t="s">
        <v>98</v>
      </c>
      <c r="F3" s="1018" t="str">
        <f>'General Information'!$E$3</f>
        <v>Fill out Gen Info</v>
      </c>
      <c r="H3" s="173"/>
      <c r="I3" s="173"/>
    </row>
    <row r="4" spans="1:9" x14ac:dyDescent="0.45">
      <c r="A4" s="171"/>
      <c r="D4" s="160"/>
      <c r="H4" s="173"/>
      <c r="I4" s="173"/>
    </row>
    <row r="5" spans="1:9" ht="19.2" customHeight="1" x14ac:dyDescent="0.45">
      <c r="A5" s="1155" t="s">
        <v>68</v>
      </c>
      <c r="B5" s="1156"/>
      <c r="C5" s="1156"/>
      <c r="D5" s="1156"/>
      <c r="E5" s="1156"/>
      <c r="F5" s="1156"/>
      <c r="H5" s="174"/>
      <c r="I5" s="174"/>
    </row>
    <row r="6" spans="1:9" ht="19.2" customHeight="1" x14ac:dyDescent="0.45">
      <c r="A6" s="1054"/>
      <c r="B6" s="1054"/>
      <c r="C6" s="1054"/>
      <c r="D6" s="1054"/>
      <c r="E6" s="1054"/>
      <c r="F6" s="1054"/>
      <c r="H6" s="174"/>
      <c r="I6" s="174"/>
    </row>
    <row r="7" spans="1:9" ht="38.4" customHeight="1" x14ac:dyDescent="0.45">
      <c r="A7" s="1157" t="str">
        <f>IF(OR(ISBLANK(F3)=TRUE,F3="Fill out Gen Info"),"Select the line of business from the dropdown on Gen Info Tab. The items in yellow below are those that are applicable based on the LOB and the other answers given.","")</f>
        <v>Select the line of business from the dropdown on Gen Info Tab. The items in yellow below are those that are applicable based on the LOB and the other answers given.</v>
      </c>
      <c r="B7" s="1157"/>
      <c r="C7" s="1157"/>
      <c r="D7" s="1157"/>
      <c r="E7" s="1157"/>
      <c r="F7" s="1157"/>
      <c r="H7" s="173"/>
      <c r="I7" s="173"/>
    </row>
    <row r="8" spans="1:9" x14ac:dyDescent="0.45">
      <c r="A8" s="172"/>
      <c r="B8" s="1017"/>
      <c r="C8" s="1017"/>
      <c r="D8" s="1017"/>
      <c r="E8" s="1017"/>
      <c r="F8" s="1017"/>
      <c r="H8" s="173"/>
      <c r="I8" s="173"/>
    </row>
    <row r="9" spans="1:9" x14ac:dyDescent="0.45">
      <c r="A9" s="175" t="s">
        <v>158</v>
      </c>
      <c r="B9" s="176"/>
      <c r="C9" s="176"/>
      <c r="D9" s="161"/>
      <c r="E9" s="161"/>
      <c r="F9" s="162"/>
      <c r="G9" s="163"/>
      <c r="H9" s="173"/>
      <c r="I9" s="173"/>
    </row>
    <row r="10" spans="1:9" ht="38.4" customHeight="1" x14ac:dyDescent="0.45">
      <c r="A10" s="164">
        <v>-1</v>
      </c>
      <c r="B10" s="1161" t="s">
        <v>159</v>
      </c>
      <c r="C10" s="1162"/>
      <c r="D10" s="1162"/>
      <c r="E10" s="1163"/>
      <c r="F10" s="177"/>
      <c r="G10" s="165"/>
      <c r="H10" s="178"/>
      <c r="I10" s="178"/>
    </row>
    <row r="11" spans="1:9" ht="17.25" customHeight="1" x14ac:dyDescent="0.45">
      <c r="A11" s="164">
        <v>-2</v>
      </c>
      <c r="B11" s="1161" t="s">
        <v>160</v>
      </c>
      <c r="C11" s="1162"/>
      <c r="D11" s="1162"/>
      <c r="E11" s="1163"/>
      <c r="F11" s="183"/>
      <c r="G11" s="165"/>
      <c r="H11" s="178"/>
      <c r="I11" s="178"/>
    </row>
    <row r="12" spans="1:9" ht="38.4" customHeight="1" x14ac:dyDescent="0.45">
      <c r="A12" s="164">
        <v>-3</v>
      </c>
      <c r="B12" s="1164" t="s">
        <v>161</v>
      </c>
      <c r="C12" s="1165"/>
      <c r="D12" s="1165"/>
      <c r="E12" s="1166"/>
      <c r="F12" s="183"/>
      <c r="G12" s="165"/>
      <c r="H12" s="178"/>
      <c r="I12" s="178"/>
    </row>
    <row r="13" spans="1:9" x14ac:dyDescent="0.45">
      <c r="A13" s="164" t="s">
        <v>162</v>
      </c>
      <c r="B13" s="1146" t="s">
        <v>163</v>
      </c>
      <c r="C13" s="1147"/>
      <c r="D13" s="1147"/>
      <c r="E13" s="1148"/>
      <c r="F13" s="184"/>
      <c r="G13" s="165"/>
      <c r="H13" s="178"/>
      <c r="I13" s="178"/>
    </row>
    <row r="14" spans="1:9" ht="38.4" customHeight="1" x14ac:dyDescent="0.45">
      <c r="A14" s="164">
        <v>-4</v>
      </c>
      <c r="B14" s="1146" t="s">
        <v>164</v>
      </c>
      <c r="C14" s="1147"/>
      <c r="D14" s="1147"/>
      <c r="E14" s="1148"/>
      <c r="F14" s="183"/>
      <c r="G14" s="165"/>
      <c r="H14" s="178"/>
      <c r="I14" s="178"/>
    </row>
    <row r="15" spans="1:9" x14ac:dyDescent="0.45">
      <c r="A15" s="164" t="s">
        <v>165</v>
      </c>
      <c r="B15" s="1146" t="s">
        <v>166</v>
      </c>
      <c r="C15" s="1147"/>
      <c r="D15" s="1147"/>
      <c r="E15" s="1148"/>
      <c r="F15" s="185"/>
      <c r="G15" s="165"/>
      <c r="H15" s="178"/>
      <c r="I15" s="178"/>
    </row>
    <row r="16" spans="1:9" x14ac:dyDescent="0.45">
      <c r="A16" s="175" t="s">
        <v>167</v>
      </c>
      <c r="B16" s="179"/>
      <c r="C16" s="179"/>
      <c r="D16" s="166"/>
      <c r="E16" s="166"/>
      <c r="F16" s="180"/>
    </row>
    <row r="17" spans="1:9" x14ac:dyDescent="0.45">
      <c r="A17" s="164">
        <v>-5</v>
      </c>
      <c r="B17" s="1146" t="s">
        <v>168</v>
      </c>
      <c r="C17" s="1147"/>
      <c r="D17" s="1147"/>
      <c r="E17" s="1148"/>
      <c r="F17" s="186"/>
    </row>
    <row r="18" spans="1:9" ht="38.4" customHeight="1" x14ac:dyDescent="0.45">
      <c r="A18" s="164" t="s">
        <v>169</v>
      </c>
      <c r="B18" s="1143" t="s">
        <v>170</v>
      </c>
      <c r="C18" s="1144"/>
      <c r="D18" s="1144"/>
      <c r="E18" s="1145"/>
      <c r="F18" s="184"/>
    </row>
    <row r="19" spans="1:9" x14ac:dyDescent="0.45">
      <c r="A19" s="164">
        <v>-6</v>
      </c>
      <c r="B19" s="1146" t="s">
        <v>171</v>
      </c>
      <c r="C19" s="1147"/>
      <c r="D19" s="1147"/>
      <c r="E19" s="1148"/>
      <c r="F19" s="187"/>
    </row>
    <row r="20" spans="1:9" ht="38.4" customHeight="1" x14ac:dyDescent="0.45">
      <c r="A20" s="164" t="s">
        <v>172</v>
      </c>
      <c r="B20" s="1143" t="s">
        <v>173</v>
      </c>
      <c r="C20" s="1144"/>
      <c r="D20" s="1144"/>
      <c r="E20" s="1145"/>
      <c r="F20" s="185"/>
    </row>
    <row r="21" spans="1:9" x14ac:dyDescent="0.45">
      <c r="A21" s="175" t="s">
        <v>174</v>
      </c>
      <c r="B21" s="179"/>
      <c r="C21" s="179"/>
      <c r="D21" s="167"/>
      <c r="E21" s="167"/>
      <c r="F21" s="180"/>
    </row>
    <row r="22" spans="1:9" x14ac:dyDescent="0.45">
      <c r="A22" s="164">
        <v>-7</v>
      </c>
      <c r="B22" s="1146" t="s">
        <v>175</v>
      </c>
      <c r="C22" s="1147"/>
      <c r="D22" s="1147"/>
      <c r="E22" s="1148"/>
      <c r="F22" s="182"/>
      <c r="G22" s="165"/>
      <c r="H22" s="178"/>
      <c r="I22" s="178"/>
    </row>
    <row r="23" spans="1:9" x14ac:dyDescent="0.45">
      <c r="A23" s="164" t="s">
        <v>14</v>
      </c>
      <c r="B23" s="1146" t="s">
        <v>176</v>
      </c>
      <c r="C23" s="1147"/>
      <c r="D23" s="1147"/>
      <c r="E23" s="1148"/>
      <c r="F23" s="183"/>
      <c r="G23" s="165"/>
      <c r="H23" s="178"/>
      <c r="I23" s="178"/>
    </row>
    <row r="24" spans="1:9" x14ac:dyDescent="0.45">
      <c r="A24" s="164" t="s">
        <v>16</v>
      </c>
      <c r="B24" s="1146" t="s">
        <v>177</v>
      </c>
      <c r="C24" s="1147"/>
      <c r="D24" s="1147"/>
      <c r="E24" s="1148"/>
      <c r="F24" s="183"/>
    </row>
    <row r="25" spans="1:9" ht="38.4" customHeight="1" x14ac:dyDescent="0.45">
      <c r="A25" s="164" t="s">
        <v>17</v>
      </c>
      <c r="B25" s="1143" t="s">
        <v>178</v>
      </c>
      <c r="C25" s="1144"/>
      <c r="D25" s="1144"/>
      <c r="E25" s="1145"/>
      <c r="F25" s="185"/>
    </row>
    <row r="26" spans="1:9" x14ac:dyDescent="0.45">
      <c r="A26" s="175" t="s">
        <v>179</v>
      </c>
      <c r="B26" s="181"/>
      <c r="C26" s="181"/>
      <c r="D26" s="167"/>
      <c r="E26" s="167"/>
      <c r="F26" s="180"/>
      <c r="G26" s="165"/>
    </row>
    <row r="27" spans="1:9" ht="38.4" customHeight="1" x14ac:dyDescent="0.45">
      <c r="A27" s="164">
        <v>-8</v>
      </c>
      <c r="B27" s="1146" t="s">
        <v>180</v>
      </c>
      <c r="C27" s="1147"/>
      <c r="D27" s="1147"/>
      <c r="E27" s="1148"/>
      <c r="F27" s="182"/>
    </row>
    <row r="28" spans="1:9" ht="38.4" customHeight="1" x14ac:dyDescent="0.45">
      <c r="A28" s="168">
        <v>-9</v>
      </c>
      <c r="B28" s="1167" t="s">
        <v>181</v>
      </c>
      <c r="C28" s="1168"/>
      <c r="D28" s="1168"/>
      <c r="E28" s="1169"/>
      <c r="F28" s="188"/>
    </row>
    <row r="29" spans="1:9" x14ac:dyDescent="0.45">
      <c r="A29" s="169"/>
      <c r="B29" s="1158"/>
      <c r="C29" s="1159"/>
      <c r="D29" s="1159"/>
      <c r="E29" s="1159"/>
      <c r="F29" s="1160"/>
    </row>
    <row r="30" spans="1:9" x14ac:dyDescent="0.45">
      <c r="A30" s="175" t="s">
        <v>182</v>
      </c>
      <c r="B30" s="181"/>
      <c r="C30" s="181"/>
      <c r="D30" s="167"/>
      <c r="E30" s="167"/>
      <c r="F30" s="180"/>
    </row>
    <row r="31" spans="1:9" ht="76.95" customHeight="1" x14ac:dyDescent="0.45">
      <c r="A31" s="164">
        <v>-10</v>
      </c>
      <c r="B31" s="1143" t="s">
        <v>183</v>
      </c>
      <c r="C31" s="1144"/>
      <c r="D31" s="1144"/>
      <c r="E31" s="1145"/>
      <c r="F31" s="188"/>
    </row>
    <row r="32" spans="1:9" ht="38.4" customHeight="1" x14ac:dyDescent="0.45">
      <c r="A32" s="164">
        <v>-11</v>
      </c>
      <c r="B32" s="1149" t="s">
        <v>184</v>
      </c>
      <c r="C32" s="1150"/>
      <c r="D32" s="1150"/>
      <c r="E32" s="1151"/>
      <c r="F32" s="182"/>
    </row>
    <row r="33" spans="1:6" ht="38.4" customHeight="1" x14ac:dyDescent="0.45">
      <c r="A33" s="164">
        <v>-12</v>
      </c>
      <c r="B33" s="1143" t="s">
        <v>185</v>
      </c>
      <c r="C33" s="1144"/>
      <c r="D33" s="1144"/>
      <c r="E33" s="1145"/>
      <c r="F33" s="183"/>
    </row>
    <row r="34" spans="1:6" ht="38.4" customHeight="1" x14ac:dyDescent="0.45">
      <c r="A34" s="164">
        <v>-13</v>
      </c>
      <c r="B34" s="1143" t="s">
        <v>186</v>
      </c>
      <c r="C34" s="1144"/>
      <c r="D34" s="1144"/>
      <c r="E34" s="1145"/>
      <c r="F34" s="188"/>
    </row>
    <row r="35" spans="1:6" ht="38.4" customHeight="1" x14ac:dyDescent="0.45">
      <c r="A35" s="164">
        <v>-14</v>
      </c>
      <c r="B35" s="1143" t="s">
        <v>187</v>
      </c>
      <c r="C35" s="1144"/>
      <c r="D35" s="1144"/>
      <c r="E35" s="1145"/>
      <c r="F35" s="188"/>
    </row>
    <row r="36" spans="1:6" ht="38.4" customHeight="1" x14ac:dyDescent="0.45">
      <c r="A36" s="164">
        <v>-15</v>
      </c>
      <c r="B36" s="1152" t="s">
        <v>188</v>
      </c>
      <c r="C36" s="1153"/>
      <c r="D36" s="1153"/>
      <c r="E36" s="1154"/>
      <c r="F36" s="188"/>
    </row>
    <row r="37" spans="1:6" ht="38.4" customHeight="1" x14ac:dyDescent="0.45">
      <c r="A37" s="164">
        <v>-16</v>
      </c>
      <c r="B37" s="1143" t="s">
        <v>189</v>
      </c>
      <c r="C37" s="1144"/>
      <c r="D37" s="1144"/>
      <c r="E37" s="1145"/>
      <c r="F37" s="188"/>
    </row>
    <row r="38" spans="1:6" ht="38.4" customHeight="1" x14ac:dyDescent="0.45">
      <c r="A38" s="164">
        <v>-17</v>
      </c>
      <c r="B38" s="1152" t="s">
        <v>190</v>
      </c>
      <c r="C38" s="1153"/>
      <c r="D38" s="1153"/>
      <c r="E38" s="1154"/>
      <c r="F38" s="188"/>
    </row>
    <row r="39" spans="1:6" ht="38.4" customHeight="1" x14ac:dyDescent="0.45">
      <c r="A39" s="164">
        <v>-18</v>
      </c>
      <c r="B39" s="1143" t="s">
        <v>191</v>
      </c>
      <c r="C39" s="1144"/>
      <c r="D39" s="1144"/>
      <c r="E39" s="1145"/>
      <c r="F39" s="188"/>
    </row>
    <row r="40" spans="1:6" ht="57.6" customHeight="1" x14ac:dyDescent="0.45">
      <c r="A40" s="164">
        <v>-19</v>
      </c>
      <c r="B40" s="1143" t="s">
        <v>192</v>
      </c>
      <c r="C40" s="1144"/>
      <c r="D40" s="1144"/>
      <c r="E40" s="1145"/>
      <c r="F40" s="188"/>
    </row>
    <row r="41" spans="1:6" ht="38.4" customHeight="1" x14ac:dyDescent="0.45">
      <c r="A41" s="164">
        <v>-20</v>
      </c>
      <c r="B41" s="1143" t="s">
        <v>193</v>
      </c>
      <c r="C41" s="1144"/>
      <c r="D41" s="1144"/>
      <c r="E41" s="1145"/>
      <c r="F41" s="188"/>
    </row>
  </sheetData>
  <sheetProtection sheet="1" objects="1" scenarios="1"/>
  <mergeCells count="30">
    <mergeCell ref="A5:F5"/>
    <mergeCell ref="A7:F7"/>
    <mergeCell ref="B29:F29"/>
    <mergeCell ref="B10:E10"/>
    <mergeCell ref="B11:E11"/>
    <mergeCell ref="B12:E12"/>
    <mergeCell ref="B13:E13"/>
    <mergeCell ref="B14:E14"/>
    <mergeCell ref="B15:E15"/>
    <mergeCell ref="B17:E17"/>
    <mergeCell ref="B18:E18"/>
    <mergeCell ref="B25:E25"/>
    <mergeCell ref="B27:E27"/>
    <mergeCell ref="B28:E28"/>
    <mergeCell ref="B39:E39"/>
    <mergeCell ref="B40:E40"/>
    <mergeCell ref="B41:E41"/>
    <mergeCell ref="B19:E19"/>
    <mergeCell ref="B20:E20"/>
    <mergeCell ref="B22:E22"/>
    <mergeCell ref="B23:E23"/>
    <mergeCell ref="B24:E24"/>
    <mergeCell ref="B31:E31"/>
    <mergeCell ref="B32:E32"/>
    <mergeCell ref="B33:E33"/>
    <mergeCell ref="B34:E34"/>
    <mergeCell ref="B35:E35"/>
    <mergeCell ref="B36:E36"/>
    <mergeCell ref="B37:E37"/>
    <mergeCell ref="B38:E38"/>
  </mergeCells>
  <conditionalFormatting sqref="B29:E29">
    <cfRule type="expression" dxfId="179" priority="9">
      <formula>AND($F$28="Other",$B$29="")</formula>
    </cfRule>
  </conditionalFormatting>
  <conditionalFormatting sqref="B29:F29">
    <cfRule type="expression" dxfId="178" priority="3">
      <formula>IF($F$28="Other",FALSE(),TRUE())</formula>
    </cfRule>
  </conditionalFormatting>
  <conditionalFormatting sqref="F2:F3">
    <cfRule type="cellIs" dxfId="177" priority="6" operator="equal">
      <formula>""</formula>
    </cfRule>
  </conditionalFormatting>
  <conditionalFormatting sqref="F22:F24 F11:F12 F14 F17 F19 F27:F28">
    <cfRule type="cellIs" dxfId="176" priority="10" operator="equal">
      <formula>""</formula>
    </cfRule>
  </conditionalFormatting>
  <conditionalFormatting sqref="F23:F24">
    <cfRule type="expression" dxfId="174" priority="8" stopIfTrue="1">
      <formula>$F$22="No"</formula>
    </cfRule>
  </conditionalFormatting>
  <conditionalFormatting sqref="F31:F41">
    <cfRule type="cellIs" dxfId="172" priority="5" operator="equal">
      <formula>""</formula>
    </cfRule>
  </conditionalFormatting>
  <dataValidations count="4">
    <dataValidation type="list" allowBlank="1" showInputMessage="1" showErrorMessage="1" error="Do not submit this filing until it has been revised for compliance with this regulation." sqref="F28" xr:uid="{0A4E2B60-FE0E-49C3-88F9-068179265692}">
      <formula1>Assessments2</formula1>
    </dataValidation>
    <dataValidation type="list" allowBlank="1" showInputMessage="1" showErrorMessage="1" error="Do not submit this filing until it has been revised for compliance with this regulation." sqref="F27" xr:uid="{9A466C0F-2F09-4631-BBD2-F970BDF0256E}">
      <formula1>Assessments1</formula1>
    </dataValidation>
    <dataValidation type="list" allowBlank="1" showInputMessage="1" showErrorMessage="1" sqref="F14 F19 F17 F22:F24 F12" xr:uid="{56281098-989D-45D7-9D50-D820D8621F02}">
      <formula1>Yes_No</formula1>
    </dataValidation>
    <dataValidation type="list" allowBlank="1" showInputMessage="1" showErrorMessage="1" sqref="F31:F41" xr:uid="{E5A1BD74-4496-4404-AC7D-93753AB7A0C4}">
      <formula1>Confirm_NA</formula1>
    </dataValidation>
  </dataValidations>
  <hyperlinks>
    <hyperlink ref="B32:D32" r:id="rId1" display="Is this filing compliant with 28 TAC §5.401 regarding prior insurance?" xr:uid="{ED3E0212-FAAF-45C6-ADD4-36735CC2925E}"/>
    <hyperlink ref="B33:D33" r:id="rId2" location="1953.051" display="TIC § 1953.051a" xr:uid="{2807D9CF-92BA-431B-9495-232A7722D6FA}"/>
    <hyperlink ref="B18:D18" r:id="rId3" display="If so, complete Territory Exhibit 1 - Display of Counties Affected by 15% Territory Rule (attach separately)." xr:uid="{4FC625D2-50D8-499D-BCD6-589E0B2A3CF1}"/>
    <hyperlink ref="B20:D20" r:id="rId4" display="If so, complete Territory Exhibit 2 - Support for Territorial Deviations (attach separately)." xr:uid="{CEFA2A63-C044-4865-B849-CC9E3F24D643}"/>
    <hyperlink ref="B25:D25" r:id="rId5" display="If so, complete CS Exhibit - Support for use of Credit Scoring (attach separately)." xr:uid="{ABE26CDC-4FDF-443B-93CF-D176003BDB97}"/>
    <hyperlink ref="B34:D34" r:id="rId6" location="544.353" display="Confirm compliance with TIC § 544.353 that restricts the use of water damage claims in the underwriting. (Homeowners only)" xr:uid="{00000000-0004-0000-0100-000001000000}"/>
    <hyperlink ref="B35:D35" r:id="rId7" location="551.107" display="Confirm compliance with TIC § 551.107 regarding the consideration of claims for policy renewals and surcharges. (Homeowners only)" xr:uid="{00000000-0004-0000-0100-000002000000}"/>
    <hyperlink ref="B36:D36" r:id="rId8" location="2006.051" display="Is this filing compliant with Texas Insurance Code Chapter 2006 subchapter B regarding an optional premium discount?" xr:uid="{00000000-0004-0000-0100-000003000000}"/>
    <hyperlink ref="B37:D37" r:id="rId9" display="Confirm compliance with 28 TAC §21.1004  which restricts the use of certain types of claims in the rating of homeowners insurance." xr:uid="{00000000-0004-0000-0100-000004000000}"/>
    <hyperlink ref="B38:D38" r:id="rId10" display="Is this filing compliant with 28 TAC §21.1006 regarding age or value of property?" xr:uid="{00000000-0004-0000-0100-000005000000}"/>
    <hyperlink ref="B39:D39" r:id="rId11" display="Confirm compliance with 28 TAC § 21.1007 that restricts the use of certain types of claims in the underwriting of homeowners insurance." xr:uid="{00000000-0004-0000-0100-000006000000}"/>
    <hyperlink ref="B31:D31" r:id="rId12" location=":~:text=(1%2Da)%20%20%22Disallowed%20expenses%22%20includes%3A" display="TIC § 2251.002 (1-a)" xr:uid="{2F3A64F9-2894-4F0C-9605-A10E638AEC1A}"/>
    <hyperlink ref="B40:D40" r:id="rId13" location=":~:text=September%201%2C%202007.-,Sec.%201901.0541,-.%20%20USE%20IN%20UNDERWRITING" display="Confirm compliance with TIC § 1901.0541 that restricts the use of certain information related to lawsuits in setting premiums or reducing claims-free discounts for medical professional liability insurance." xr:uid="{5BAD2B74-79A1-4A27-A545-29649910E534}"/>
    <hyperlink ref="B41:D41" r:id="rId14" location=":~:text=Sec.%201901.055.%20%20CLAIM%20SURCHARGE" display="Confirm compliance with TIC § 1901.055 that prohibits the use of certain claims in assessing claim surcharges for medical professional liability insurance." xr:uid="{D03FE4C3-A0CF-4BAD-B1C0-1D727C397421}"/>
  </hyperlinks>
  <printOptions horizontalCentered="1"/>
  <pageMargins left="0.5" right="0.5" top="0.5" bottom="0.25" header="0.3" footer="0.3"/>
  <pageSetup fitToHeight="2" orientation="portrait" r:id="rId15"/>
  <rowBreaks count="1" manualBreakCount="1">
    <brk id="25" max="5" man="1"/>
  </rowBreaks>
  <drawing r:id="rId16"/>
  <legacyDrawing r:id="rId17"/>
  <mc:AlternateContent xmlns:mc="http://schemas.openxmlformats.org/markup-compatibility/2006">
    <mc:Choice Requires="x14">
      <controls>
        <mc:AlternateContent xmlns:mc="http://schemas.openxmlformats.org/markup-compatibility/2006">
          <mc:Choice Requires="x14">
            <control shapeId="30721" r:id="rId18" name="Check Box 1">
              <controlPr defaultSize="0" autoFill="0" autoLine="0" autoPict="0" altText="Checkbox - check if othersupporting  information is included">
                <anchor moveWithCells="1" sizeWithCells="1">
                  <from>
                    <xdr:col>1</xdr:col>
                    <xdr:colOff>22860</xdr:colOff>
                    <xdr:row>33</xdr:row>
                    <xdr:rowOff>0</xdr:rowOff>
                  </from>
                  <to>
                    <xdr:col>3</xdr:col>
                    <xdr:colOff>30480</xdr:colOff>
                    <xdr:row>33</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4" id="{028D41EA-4669-4436-AF98-4B3161F4F983}">
            <xm:f>IF('Drop Down Lists and Formatting'!K14=0,TRUE,FALSE)</xm:f>
            <x14:dxf>
              <fill>
                <patternFill>
                  <bgColor theme="0" tint="-0.499984740745262"/>
                </patternFill>
              </fill>
            </x14:dxf>
          </x14:cfRule>
          <xm:sqref>F22:F25</xm:sqref>
        </x14:conditionalFormatting>
        <x14:conditionalFormatting xmlns:xm="http://schemas.microsoft.com/office/excel/2006/main">
          <x14:cfRule type="expression" priority="4" id="{35E4FD55-EE7A-4D16-AB89-E8DE4CDCDDBC}">
            <xm:f>'Drop Down Lists and Formatting'!K2=0</xm:f>
            <x14:dxf>
              <fill>
                <patternFill>
                  <bgColor theme="0" tint="-0.499984740745262"/>
                </patternFill>
              </fill>
            </x14:dxf>
          </x14:cfRule>
          <xm:sqref>F31:F41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2"/>
  <dimension ref="A1:I44"/>
  <sheetViews>
    <sheetView showGridLines="0" zoomScaleNormal="100" zoomScaleSheetLayoutView="160" zoomScalePageLayoutView="70" workbookViewId="0">
      <selection activeCell="D2" sqref="D2"/>
    </sheetView>
  </sheetViews>
  <sheetFormatPr defaultColWidth="5.88671875" defaultRowHeight="19.2" x14ac:dyDescent="0.45"/>
  <cols>
    <col min="1" max="1" width="4.33203125" style="257" customWidth="1"/>
    <col min="2" max="2" width="23.33203125" style="257" customWidth="1"/>
    <col min="3" max="3" width="15.44140625" style="257" customWidth="1"/>
    <col min="4" max="4" width="23.109375" style="257" customWidth="1"/>
    <col min="5" max="5" width="13" style="257" customWidth="1"/>
    <col min="6" max="6" width="15.88671875" style="257" customWidth="1"/>
    <col min="7" max="7" width="9.44140625" style="257" bestFit="1" customWidth="1"/>
    <col min="8" max="8" width="0" style="257" hidden="1" customWidth="1"/>
    <col min="9" max="9" width="8.88671875" style="257" customWidth="1"/>
    <col min="10" max="16384" width="5.88671875" style="257"/>
  </cols>
  <sheetData>
    <row r="1" spans="1:6" x14ac:dyDescent="0.45">
      <c r="A1" s="1055" t="str">
        <f>'General Information'!A1</f>
        <v>Texas Department of Insurance</v>
      </c>
    </row>
    <row r="2" spans="1:6" x14ac:dyDescent="0.45">
      <c r="A2" s="1055" t="str">
        <f>'General Information'!A2</f>
        <v>Property and Casualty Rate Filing Exhibits</v>
      </c>
      <c r="E2" s="160" t="s">
        <v>97</v>
      </c>
      <c r="F2" s="1018" t="str">
        <f>'General Information'!$E$2</f>
        <v>Fill out Gen Info</v>
      </c>
    </row>
    <row r="3" spans="1:6" x14ac:dyDescent="0.45">
      <c r="A3" s="1055" t="str">
        <f>'General Information'!A3</f>
        <v>Rate Filing Template (2025 Edition)</v>
      </c>
      <c r="E3" s="160" t="s">
        <v>98</v>
      </c>
      <c r="F3" s="1018" t="str">
        <f>'General Information'!$E$3</f>
        <v>Fill out Gen Info</v>
      </c>
    </row>
    <row r="5" spans="1:6" x14ac:dyDescent="0.45">
      <c r="A5" s="1199" t="s">
        <v>194</v>
      </c>
      <c r="B5" s="1199"/>
      <c r="C5" s="1199"/>
      <c r="D5" s="1199"/>
      <c r="E5" s="1199"/>
      <c r="F5" s="1199"/>
    </row>
    <row r="6" spans="1:6" s="268" customFormat="1" x14ac:dyDescent="0.3">
      <c r="E6" s="160"/>
      <c r="F6" s="289"/>
    </row>
    <row r="7" spans="1:6" s="268" customFormat="1" x14ac:dyDescent="0.3"/>
    <row r="8" spans="1:6" s="268" customFormat="1" x14ac:dyDescent="0.45">
      <c r="B8" s="290" t="s">
        <v>195</v>
      </c>
    </row>
    <row r="9" spans="1:6" s="268" customFormat="1" x14ac:dyDescent="0.3"/>
    <row r="10" spans="1:6" s="268" customFormat="1" x14ac:dyDescent="0.3">
      <c r="B10" s="1204">
        <v>-1</v>
      </c>
      <c r="C10" s="1204"/>
      <c r="D10" s="291">
        <f>B10-1</f>
        <v>-2</v>
      </c>
      <c r="E10" s="291">
        <v>-3</v>
      </c>
      <c r="F10" s="291">
        <v>-4</v>
      </c>
    </row>
    <row r="11" spans="1:6" s="268" customFormat="1" ht="57.6" customHeight="1" x14ac:dyDescent="0.3">
      <c r="B11" s="1202" t="s">
        <v>196</v>
      </c>
      <c r="C11" s="1203"/>
      <c r="D11" s="287" t="s">
        <v>151</v>
      </c>
      <c r="E11" s="1022" t="s">
        <v>197</v>
      </c>
      <c r="F11" s="1022" t="s">
        <v>198</v>
      </c>
    </row>
    <row r="12" spans="1:6" s="268" customFormat="1" x14ac:dyDescent="0.3">
      <c r="B12" s="1200"/>
      <c r="C12" s="1201"/>
      <c r="D12" s="292"/>
      <c r="E12" s="293"/>
      <c r="F12" s="294"/>
    </row>
    <row r="13" spans="1:6" s="268" customFormat="1" x14ac:dyDescent="0.3">
      <c r="B13" s="1197"/>
      <c r="C13" s="1198"/>
      <c r="D13" s="295"/>
      <c r="E13" s="296"/>
      <c r="F13" s="297"/>
    </row>
    <row r="14" spans="1:6" s="268" customFormat="1" x14ac:dyDescent="0.3">
      <c r="B14" s="1195"/>
      <c r="C14" s="1196"/>
      <c r="D14" s="298"/>
      <c r="E14" s="299"/>
      <c r="F14" s="300"/>
    </row>
    <row r="15" spans="1:6" s="268" customFormat="1" x14ac:dyDescent="0.3">
      <c r="B15" s="1197"/>
      <c r="C15" s="1198"/>
      <c r="D15" s="295"/>
      <c r="E15" s="296"/>
      <c r="F15" s="297"/>
    </row>
    <row r="16" spans="1:6" s="268" customFormat="1" x14ac:dyDescent="0.3">
      <c r="B16" s="1195"/>
      <c r="C16" s="1196"/>
      <c r="D16" s="298"/>
      <c r="E16" s="299"/>
      <c r="F16" s="300"/>
    </row>
    <row r="17" spans="2:6" s="268" customFormat="1" x14ac:dyDescent="0.3">
      <c r="B17" s="1197"/>
      <c r="C17" s="1198"/>
      <c r="D17" s="295"/>
      <c r="E17" s="296"/>
      <c r="F17" s="297"/>
    </row>
    <row r="18" spans="2:6" s="268" customFormat="1" x14ac:dyDescent="0.3">
      <c r="B18" s="1195"/>
      <c r="C18" s="1196"/>
      <c r="D18" s="298"/>
      <c r="E18" s="299"/>
      <c r="F18" s="300"/>
    </row>
    <row r="19" spans="2:6" s="268" customFormat="1" x14ac:dyDescent="0.3">
      <c r="B19" s="1197"/>
      <c r="C19" s="1198"/>
      <c r="D19" s="295"/>
      <c r="E19" s="296"/>
      <c r="F19" s="297"/>
    </row>
    <row r="20" spans="2:6" s="268" customFormat="1" x14ac:dyDescent="0.3">
      <c r="B20" s="1195"/>
      <c r="C20" s="1196"/>
      <c r="D20" s="298"/>
      <c r="E20" s="299"/>
      <c r="F20" s="300"/>
    </row>
    <row r="21" spans="2:6" s="268" customFormat="1" x14ac:dyDescent="0.3">
      <c r="B21" s="1197"/>
      <c r="C21" s="1198"/>
      <c r="D21" s="295"/>
      <c r="E21" s="296"/>
      <c r="F21" s="297"/>
    </row>
    <row r="22" spans="2:6" s="268" customFormat="1" x14ac:dyDescent="0.3">
      <c r="B22" s="1195"/>
      <c r="C22" s="1196"/>
      <c r="D22" s="298"/>
      <c r="E22" s="299"/>
      <c r="F22" s="300"/>
    </row>
    <row r="23" spans="2:6" s="268" customFormat="1" x14ac:dyDescent="0.3">
      <c r="B23" s="1197"/>
      <c r="C23" s="1198"/>
      <c r="D23" s="295"/>
      <c r="E23" s="296"/>
      <c r="F23" s="297"/>
    </row>
    <row r="24" spans="2:6" s="268" customFormat="1" x14ac:dyDescent="0.3">
      <c r="B24" s="1195"/>
      <c r="C24" s="1196"/>
      <c r="D24" s="298"/>
      <c r="E24" s="299"/>
      <c r="F24" s="300"/>
    </row>
    <row r="25" spans="2:6" s="268" customFormat="1" x14ac:dyDescent="0.3">
      <c r="B25" s="1197"/>
      <c r="C25" s="1198"/>
      <c r="D25" s="295"/>
      <c r="E25" s="296"/>
      <c r="F25" s="297"/>
    </row>
    <row r="26" spans="2:6" s="268" customFormat="1" x14ac:dyDescent="0.3">
      <c r="B26" s="1195"/>
      <c r="C26" s="1196"/>
      <c r="D26" s="298"/>
      <c r="E26" s="299"/>
      <c r="F26" s="300"/>
    </row>
    <row r="27" spans="2:6" s="268" customFormat="1" x14ac:dyDescent="0.3">
      <c r="B27" s="1197"/>
      <c r="C27" s="1198"/>
      <c r="D27" s="295"/>
      <c r="E27" s="296"/>
      <c r="F27" s="297"/>
    </row>
    <row r="28" spans="2:6" s="268" customFormat="1" x14ac:dyDescent="0.3">
      <c r="B28" s="1195"/>
      <c r="C28" s="1196"/>
      <c r="D28" s="298"/>
      <c r="E28" s="299"/>
      <c r="F28" s="300"/>
    </row>
    <row r="29" spans="2:6" s="268" customFormat="1" x14ac:dyDescent="0.3">
      <c r="B29" s="1175"/>
      <c r="C29" s="1176"/>
      <c r="D29" s="301"/>
      <c r="E29" s="302"/>
      <c r="F29" s="303"/>
    </row>
    <row r="30" spans="2:6" s="273" customFormat="1" x14ac:dyDescent="0.45">
      <c r="B30" s="1173" t="s">
        <v>199</v>
      </c>
      <c r="C30" s="1174"/>
      <c r="D30" s="304">
        <f>SUM(D12:D29)</f>
        <v>0</v>
      </c>
      <c r="E30" s="305">
        <f>IFERROR(SUMPRODUCT($D12:$D29,E12:E29)/D30,0)</f>
        <v>0</v>
      </c>
      <c r="F30" s="305">
        <f>IFERROR(SUMPRODUCT($D12:$D29,F12:F29)/D30,0)</f>
        <v>0</v>
      </c>
    </row>
    <row r="31" spans="2:6" s="273" customFormat="1" x14ac:dyDescent="0.45">
      <c r="B31" s="1173" t="s">
        <v>200</v>
      </c>
      <c r="C31" s="1174"/>
      <c r="D31" s="301"/>
      <c r="E31" s="306"/>
      <c r="F31" s="303"/>
    </row>
    <row r="32" spans="2:6" s="273" customFormat="1" x14ac:dyDescent="0.45">
      <c r="B32" s="1173" t="s">
        <v>201</v>
      </c>
      <c r="C32" s="1174"/>
      <c r="D32" s="304">
        <f>D30+D31</f>
        <v>0</v>
      </c>
      <c r="E32" s="306"/>
      <c r="F32" s="305">
        <f>IFERROR(SUMPRODUCT(D30:D31,F30:F31)/D32,0)</f>
        <v>0</v>
      </c>
    </row>
    <row r="35" spans="1:9" x14ac:dyDescent="0.45">
      <c r="A35" s="307">
        <f>F10-1</f>
        <v>-5</v>
      </c>
      <c r="B35" s="1186" t="s">
        <v>202</v>
      </c>
      <c r="C35" s="1187"/>
      <c r="D35" s="1187"/>
      <c r="E35" s="1187"/>
      <c r="F35" s="1188"/>
    </row>
    <row r="36" spans="1:9" x14ac:dyDescent="0.45">
      <c r="B36" s="1189"/>
      <c r="C36" s="1190"/>
      <c r="D36" s="1190"/>
      <c r="E36" s="1190"/>
      <c r="F36" s="1191"/>
    </row>
    <row r="37" spans="1:9" x14ac:dyDescent="0.45">
      <c r="B37" s="1192"/>
      <c r="C37" s="1193"/>
      <c r="D37" s="1193"/>
      <c r="E37" s="1193"/>
      <c r="F37" s="1194"/>
    </row>
    <row r="38" spans="1:9" x14ac:dyDescent="0.45">
      <c r="B38" s="1180"/>
      <c r="C38" s="1181"/>
      <c r="D38" s="1181"/>
      <c r="E38" s="1181"/>
      <c r="F38" s="1182"/>
    </row>
    <row r="39" spans="1:9" x14ac:dyDescent="0.45">
      <c r="B39" s="1180"/>
      <c r="C39" s="1181"/>
      <c r="D39" s="1181"/>
      <c r="E39" s="1181"/>
      <c r="F39" s="1182"/>
    </row>
    <row r="40" spans="1:9" x14ac:dyDescent="0.45">
      <c r="B40" s="1183"/>
      <c r="C40" s="1184"/>
      <c r="D40" s="1184"/>
      <c r="E40" s="1184"/>
      <c r="F40" s="1185"/>
    </row>
    <row r="42" spans="1:9" ht="45.6" customHeight="1" x14ac:dyDescent="0.45">
      <c r="A42" s="307">
        <f>A35-1</f>
        <v>-6</v>
      </c>
      <c r="B42" s="1177" t="s">
        <v>203</v>
      </c>
      <c r="C42" s="1178"/>
      <c r="D42" s="1178"/>
      <c r="E42" s="1178"/>
      <c r="F42" s="1179"/>
      <c r="H42" s="257" t="s">
        <v>35</v>
      </c>
      <c r="I42" s="1103"/>
    </row>
    <row r="43" spans="1:9" x14ac:dyDescent="0.45">
      <c r="B43" s="1170" t="s">
        <v>35</v>
      </c>
      <c r="C43" s="1171"/>
      <c r="D43" s="1171"/>
      <c r="E43" s="1171"/>
      <c r="F43" s="1172"/>
      <c r="H43" s="257" t="s">
        <v>204</v>
      </c>
      <c r="I43" s="1103"/>
    </row>
    <row r="44" spans="1:9" x14ac:dyDescent="0.45">
      <c r="H44" s="257" t="s">
        <v>205</v>
      </c>
    </row>
  </sheetData>
  <sheetProtection sheet="1" objects="1" scenarios="1"/>
  <mergeCells count="28">
    <mergeCell ref="A5:F5"/>
    <mergeCell ref="B13:C13"/>
    <mergeCell ref="B12:C12"/>
    <mergeCell ref="B11:C11"/>
    <mergeCell ref="B10:C10"/>
    <mergeCell ref="B18:C18"/>
    <mergeCell ref="B17:C17"/>
    <mergeCell ref="B16:C16"/>
    <mergeCell ref="B15:C15"/>
    <mergeCell ref="B14:C14"/>
    <mergeCell ref="B23:C23"/>
    <mergeCell ref="B22:C22"/>
    <mergeCell ref="B21:C21"/>
    <mergeCell ref="B20:C20"/>
    <mergeCell ref="B19:C19"/>
    <mergeCell ref="B28:C28"/>
    <mergeCell ref="B27:C27"/>
    <mergeCell ref="B26:C26"/>
    <mergeCell ref="B25:C25"/>
    <mergeCell ref="B24:C24"/>
    <mergeCell ref="B43:F43"/>
    <mergeCell ref="B30:C30"/>
    <mergeCell ref="B29:C29"/>
    <mergeCell ref="B42:F42"/>
    <mergeCell ref="B38:F40"/>
    <mergeCell ref="B35:F37"/>
    <mergeCell ref="B31:C31"/>
    <mergeCell ref="B32:C32"/>
  </mergeCells>
  <conditionalFormatting sqref="B12:B29">
    <cfRule type="expression" dxfId="171" priority="11">
      <formula>$B$12=""</formula>
    </cfRule>
  </conditionalFormatting>
  <conditionalFormatting sqref="B38">
    <cfRule type="expression" dxfId="170" priority="10">
      <formula>$B$38=""</formula>
    </cfRule>
  </conditionalFormatting>
  <conditionalFormatting sqref="B43">
    <cfRule type="expression" dxfId="169" priority="14">
      <formula>$B$43=$H$42</formula>
    </cfRule>
  </conditionalFormatting>
  <conditionalFormatting sqref="D31 F31">
    <cfRule type="expression" dxfId="168" priority="3">
      <formula>AND(NOT($B31=""),D31="")</formula>
    </cfRule>
    <cfRule type="expression" dxfId="167" priority="4">
      <formula>$B$12=""</formula>
    </cfRule>
  </conditionalFormatting>
  <conditionalFormatting sqref="D12:F29">
    <cfRule type="expression" dxfId="166" priority="6">
      <formula>AND(NOT($B12=""),D12="")</formula>
    </cfRule>
    <cfRule type="expression" dxfId="165" priority="7">
      <formula>$B$12=""</formula>
    </cfRule>
  </conditionalFormatting>
  <conditionalFormatting sqref="F2:F3">
    <cfRule type="cellIs" dxfId="164" priority="1" operator="equal">
      <formula>""</formula>
    </cfRule>
  </conditionalFormatting>
  <dataValidations count="1">
    <dataValidation type="list" allowBlank="1" showInputMessage="1" showErrorMessage="1" sqref="B43" xr:uid="{00000000-0002-0000-0300-000000000000}">
      <formula1>$H$42:$H$44</formula1>
    </dataValidation>
  </dataValidations>
  <printOptions horizontalCentered="1"/>
  <pageMargins left="0.5" right="0.5" top="0.5" bottom="0.5" header="0.3" footer="0.3"/>
  <pageSetup fitToWidth="0" fitToHeight="0" orientation="portrait" r:id="rId1"/>
  <rowBreaks count="1" manualBreakCount="1">
    <brk id="3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4"/>
  <dimension ref="A1:F29"/>
  <sheetViews>
    <sheetView showGridLines="0" zoomScaleNormal="100" zoomScalePageLayoutView="85" workbookViewId="0"/>
  </sheetViews>
  <sheetFormatPr defaultColWidth="9.109375" defaultRowHeight="19.2" x14ac:dyDescent="0.45"/>
  <cols>
    <col min="1" max="6" width="15.88671875" style="257" customWidth="1"/>
    <col min="7" max="7" width="8.5546875" style="257" bestFit="1" customWidth="1"/>
    <col min="8" max="16384" width="9.109375" style="257"/>
  </cols>
  <sheetData>
    <row r="1" spans="1:6" x14ac:dyDescent="0.45">
      <c r="A1" s="1055" t="str">
        <f>'General Information'!A1</f>
        <v>Texas Department of Insurance</v>
      </c>
    </row>
    <row r="2" spans="1:6" x14ac:dyDescent="0.45">
      <c r="A2" s="1055" t="str">
        <f>'General Information'!A2</f>
        <v>Property and Casualty Rate Filing Exhibits</v>
      </c>
      <c r="E2" s="160" t="s">
        <v>97</v>
      </c>
      <c r="F2" s="1018" t="str">
        <f>'General Information'!$E$2</f>
        <v>Fill out Gen Info</v>
      </c>
    </row>
    <row r="3" spans="1:6" x14ac:dyDescent="0.45">
      <c r="A3" s="1055" t="str">
        <f>'General Information'!A3</f>
        <v>Rate Filing Template (2025 Edition)</v>
      </c>
      <c r="E3" s="160" t="s">
        <v>98</v>
      </c>
      <c r="F3" s="1018" t="str">
        <f>'General Information'!$E$3</f>
        <v>Fill out Gen Info</v>
      </c>
    </row>
    <row r="4" spans="1:6" x14ac:dyDescent="0.45">
      <c r="A4" s="288"/>
    </row>
    <row r="5" spans="1:6" x14ac:dyDescent="0.45">
      <c r="A5" s="1132" t="s">
        <v>206</v>
      </c>
      <c r="B5" s="1133"/>
      <c r="C5" s="1133"/>
      <c r="D5" s="1133"/>
      <c r="E5" s="1133"/>
      <c r="F5" s="1133"/>
    </row>
    <row r="6" spans="1:6" x14ac:dyDescent="0.45">
      <c r="E6" s="160"/>
      <c r="F6" s="289"/>
    </row>
    <row r="7" spans="1:6" x14ac:dyDescent="0.45">
      <c r="A7" s="290" t="s">
        <v>207</v>
      </c>
    </row>
    <row r="9" spans="1:6" s="310" customFormat="1" ht="57.6" customHeight="1" x14ac:dyDescent="0.3">
      <c r="A9" s="308" t="s">
        <v>208</v>
      </c>
      <c r="B9" s="308" t="s">
        <v>209</v>
      </c>
      <c r="C9" s="309" t="s">
        <v>210</v>
      </c>
      <c r="D9" s="1209" t="s">
        <v>211</v>
      </c>
      <c r="E9" s="1210"/>
      <c r="F9" s="309" t="s">
        <v>212</v>
      </c>
    </row>
    <row r="10" spans="1:6" x14ac:dyDescent="0.45">
      <c r="A10" s="1056"/>
      <c r="B10" s="311"/>
      <c r="C10" s="312"/>
      <c r="D10" s="1213"/>
      <c r="E10" s="1214"/>
      <c r="F10" s="1057"/>
    </row>
    <row r="11" spans="1:6" x14ac:dyDescent="0.45">
      <c r="A11" s="313"/>
      <c r="B11" s="314"/>
      <c r="C11" s="315"/>
      <c r="D11" s="1211"/>
      <c r="E11" s="1212"/>
      <c r="F11" s="1058"/>
    </row>
    <row r="12" spans="1:6" x14ac:dyDescent="0.45">
      <c r="A12" s="316"/>
      <c r="B12" s="317"/>
      <c r="C12" s="318"/>
      <c r="D12" s="1207"/>
      <c r="E12" s="1208"/>
      <c r="F12" s="1059"/>
    </row>
    <row r="13" spans="1:6" x14ac:dyDescent="0.45">
      <c r="A13" s="313"/>
      <c r="B13" s="314"/>
      <c r="C13" s="315"/>
      <c r="D13" s="1211"/>
      <c r="E13" s="1212"/>
      <c r="F13" s="1058"/>
    </row>
    <row r="14" spans="1:6" x14ac:dyDescent="0.45">
      <c r="A14" s="316"/>
      <c r="B14" s="317"/>
      <c r="C14" s="318"/>
      <c r="D14" s="1207"/>
      <c r="E14" s="1208"/>
      <c r="F14" s="1059"/>
    </row>
    <row r="15" spans="1:6" x14ac:dyDescent="0.45">
      <c r="A15" s="313"/>
      <c r="B15" s="314"/>
      <c r="C15" s="315"/>
      <c r="D15" s="1211"/>
      <c r="E15" s="1212"/>
      <c r="F15" s="1058"/>
    </row>
    <row r="16" spans="1:6" x14ac:dyDescent="0.45">
      <c r="A16" s="316"/>
      <c r="B16" s="317"/>
      <c r="C16" s="318"/>
      <c r="D16" s="1207"/>
      <c r="E16" s="1208"/>
      <c r="F16" s="1059"/>
    </row>
    <row r="17" spans="1:6" x14ac:dyDescent="0.45">
      <c r="A17" s="313"/>
      <c r="B17" s="314"/>
      <c r="C17" s="315"/>
      <c r="D17" s="1211"/>
      <c r="E17" s="1212"/>
      <c r="F17" s="1058"/>
    </row>
    <row r="18" spans="1:6" x14ac:dyDescent="0.45">
      <c r="A18" s="316"/>
      <c r="B18" s="319"/>
      <c r="C18" s="320"/>
      <c r="D18" s="1215"/>
      <c r="E18" s="1216"/>
      <c r="F18" s="1060"/>
    </row>
    <row r="19" spans="1:6" x14ac:dyDescent="0.45">
      <c r="A19" s="313"/>
      <c r="B19" s="314"/>
      <c r="C19" s="315"/>
      <c r="D19" s="1211"/>
      <c r="E19" s="1212"/>
      <c r="F19" s="1058"/>
    </row>
    <row r="20" spans="1:6" x14ac:dyDescent="0.45">
      <c r="A20" s="316"/>
      <c r="B20" s="319"/>
      <c r="C20" s="320"/>
      <c r="D20" s="1215"/>
      <c r="E20" s="1216"/>
      <c r="F20" s="1060"/>
    </row>
    <row r="21" spans="1:6" x14ac:dyDescent="0.45">
      <c r="A21" s="313"/>
      <c r="B21" s="314"/>
      <c r="C21" s="315"/>
      <c r="D21" s="1211"/>
      <c r="E21" s="1212"/>
      <c r="F21" s="1058"/>
    </row>
    <row r="22" spans="1:6" x14ac:dyDescent="0.45">
      <c r="A22" s="316"/>
      <c r="B22" s="319"/>
      <c r="C22" s="320"/>
      <c r="D22" s="1215"/>
      <c r="E22" s="1216"/>
      <c r="F22" s="1060"/>
    </row>
    <row r="23" spans="1:6" x14ac:dyDescent="0.45">
      <c r="A23" s="313"/>
      <c r="B23" s="314"/>
      <c r="C23" s="315"/>
      <c r="D23" s="1211"/>
      <c r="E23" s="1212"/>
      <c r="F23" s="1058"/>
    </row>
    <row r="24" spans="1:6" x14ac:dyDescent="0.45">
      <c r="A24" s="316"/>
      <c r="B24" s="319"/>
      <c r="C24" s="320"/>
      <c r="D24" s="1215"/>
      <c r="E24" s="1216"/>
      <c r="F24" s="1060"/>
    </row>
    <row r="25" spans="1:6" x14ac:dyDescent="0.45">
      <c r="A25" s="313"/>
      <c r="B25" s="314"/>
      <c r="C25" s="315"/>
      <c r="D25" s="1211"/>
      <c r="E25" s="1212"/>
      <c r="F25" s="1058"/>
    </row>
    <row r="26" spans="1:6" x14ac:dyDescent="0.45">
      <c r="A26" s="316"/>
      <c r="B26" s="317"/>
      <c r="C26" s="318"/>
      <c r="D26" s="1207"/>
      <c r="E26" s="1208"/>
      <c r="F26" s="1059"/>
    </row>
    <row r="27" spans="1:6" x14ac:dyDescent="0.45">
      <c r="A27" s="313"/>
      <c r="B27" s="314"/>
      <c r="C27" s="315"/>
      <c r="D27" s="1211"/>
      <c r="E27" s="1212"/>
      <c r="F27" s="1058"/>
    </row>
    <row r="28" spans="1:6" x14ac:dyDescent="0.45">
      <c r="A28" s="316"/>
      <c r="B28" s="317"/>
      <c r="C28" s="318"/>
      <c r="D28" s="1207"/>
      <c r="E28" s="1208"/>
      <c r="F28" s="1059"/>
    </row>
    <row r="29" spans="1:6" x14ac:dyDescent="0.45">
      <c r="A29" s="321"/>
      <c r="B29" s="322"/>
      <c r="C29" s="323"/>
      <c r="D29" s="1205"/>
      <c r="E29" s="1206"/>
      <c r="F29" s="1061"/>
    </row>
  </sheetData>
  <sheetProtection sheet="1" insertRows="0"/>
  <mergeCells count="22">
    <mergeCell ref="A5:F5"/>
    <mergeCell ref="D13:E13"/>
    <mergeCell ref="D18:E18"/>
    <mergeCell ref="D17:E17"/>
    <mergeCell ref="D16:E16"/>
    <mergeCell ref="D15:E15"/>
    <mergeCell ref="D14:E14"/>
    <mergeCell ref="D29:E29"/>
    <mergeCell ref="D28:E28"/>
    <mergeCell ref="D9:E9"/>
    <mergeCell ref="D12:E12"/>
    <mergeCell ref="D11:E11"/>
    <mergeCell ref="D10:E10"/>
    <mergeCell ref="D27:E27"/>
    <mergeCell ref="D26:E26"/>
    <mergeCell ref="D25:E25"/>
    <mergeCell ref="D24:E24"/>
    <mergeCell ref="D23:E23"/>
    <mergeCell ref="D22:E22"/>
    <mergeCell ref="D21:E21"/>
    <mergeCell ref="D20:E20"/>
    <mergeCell ref="D19:E19"/>
  </mergeCells>
  <conditionalFormatting sqref="A10:D29 F10:F29">
    <cfRule type="expression" dxfId="163" priority="3">
      <formula>A$10=""</formula>
    </cfRule>
  </conditionalFormatting>
  <conditionalFormatting sqref="F2:F3">
    <cfRule type="cellIs" dxfId="162" priority="1" operator="equal">
      <formula>""</formula>
    </cfRule>
  </conditionalFormatting>
  <printOptions horizontalCentered="1"/>
  <pageMargins left="0.5" right="0.5" top="0.5" bottom="0.5" header="0.3" footer="0.3"/>
  <pageSetup fitToWidth="0"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3"/>
  <dimension ref="A1:E61"/>
  <sheetViews>
    <sheetView showGridLines="0" zoomScaleNormal="100" zoomScalePageLayoutView="70" workbookViewId="0"/>
  </sheetViews>
  <sheetFormatPr defaultColWidth="8.88671875" defaultRowHeight="19.2" x14ac:dyDescent="0.45"/>
  <cols>
    <col min="1" max="1" width="35.6640625" style="257" customWidth="1"/>
    <col min="2" max="2" width="15.6640625" style="257" customWidth="1"/>
    <col min="3" max="3" width="8.88671875" style="257"/>
    <col min="4" max="4" width="35.6640625" style="257" customWidth="1"/>
    <col min="5" max="5" width="20.6640625" style="273" customWidth="1"/>
    <col min="6" max="16384" width="8.88671875" style="257"/>
  </cols>
  <sheetData>
    <row r="1" spans="1:5" x14ac:dyDescent="0.45">
      <c r="A1" s="1055" t="str">
        <f>'General Information'!$A$1</f>
        <v>Texas Department of Insurance</v>
      </c>
      <c r="D1" s="160"/>
      <c r="E1" s="1018"/>
    </row>
    <row r="2" spans="1:5" x14ac:dyDescent="0.45">
      <c r="A2" s="1055" t="str">
        <f>'General Information'!$A$2</f>
        <v>Property and Casualty Rate Filing Exhibits</v>
      </c>
      <c r="D2" s="160" t="s">
        <v>97</v>
      </c>
      <c r="E2" s="1018" t="str">
        <f>'General Information'!$E$2</f>
        <v>Fill out Gen Info</v>
      </c>
    </row>
    <row r="3" spans="1:5" x14ac:dyDescent="0.45">
      <c r="A3" s="1055" t="str">
        <f>'General Information'!$A$3</f>
        <v>Rate Filing Template (2025 Edition)</v>
      </c>
      <c r="D3" s="160" t="s">
        <v>98</v>
      </c>
      <c r="E3" s="1018" t="str">
        <f>'General Information'!$E$3</f>
        <v>Fill out Gen Info</v>
      </c>
    </row>
    <row r="5" spans="1:5" x14ac:dyDescent="0.45">
      <c r="A5" s="1132" t="s">
        <v>213</v>
      </c>
      <c r="B5" s="1133"/>
      <c r="C5" s="1133"/>
      <c r="D5" s="1133"/>
      <c r="E5" s="1133"/>
    </row>
    <row r="6" spans="1:5" s="268" customFormat="1" x14ac:dyDescent="0.3"/>
    <row r="7" spans="1:5" s="268" customFormat="1" x14ac:dyDescent="0.3">
      <c r="A7" s="324" t="s">
        <v>214</v>
      </c>
      <c r="D7" s="160"/>
    </row>
    <row r="8" spans="1:5" s="268" customFormat="1" x14ac:dyDescent="0.3">
      <c r="A8" s="324" t="s">
        <v>215</v>
      </c>
      <c r="D8" s="160"/>
    </row>
    <row r="9" spans="1:5" s="268" customFormat="1" x14ac:dyDescent="0.3"/>
    <row r="10" spans="1:5" s="268" customFormat="1" x14ac:dyDescent="0.3">
      <c r="A10" s="325" t="s">
        <v>216</v>
      </c>
      <c r="B10" s="326"/>
      <c r="D10" s="325" t="s">
        <v>216</v>
      </c>
      <c r="E10" s="326"/>
    </row>
    <row r="11" spans="1:5" s="268" customFormat="1" ht="57.6" x14ac:dyDescent="0.3">
      <c r="A11" s="327" t="s">
        <v>217</v>
      </c>
      <c r="B11" s="328" t="s">
        <v>198</v>
      </c>
      <c r="D11" s="327" t="s">
        <v>217</v>
      </c>
      <c r="E11" s="328" t="s">
        <v>218</v>
      </c>
    </row>
    <row r="12" spans="1:5" s="268" customFormat="1" x14ac:dyDescent="0.3">
      <c r="A12" s="329"/>
      <c r="B12" s="330"/>
      <c r="D12" s="329"/>
      <c r="E12" s="330"/>
    </row>
    <row r="13" spans="1:5" s="268" customFormat="1" x14ac:dyDescent="0.3">
      <c r="A13" s="331"/>
      <c r="B13" s="332"/>
      <c r="D13" s="331"/>
      <c r="E13" s="332"/>
    </row>
    <row r="14" spans="1:5" s="268" customFormat="1" x14ac:dyDescent="0.3">
      <c r="A14" s="333"/>
      <c r="B14" s="334"/>
      <c r="D14" s="333"/>
      <c r="E14" s="334"/>
    </row>
    <row r="15" spans="1:5" s="268" customFormat="1" x14ac:dyDescent="0.3">
      <c r="A15" s="335"/>
      <c r="B15" s="332"/>
      <c r="D15" s="335"/>
      <c r="E15" s="332"/>
    </row>
    <row r="16" spans="1:5" s="268" customFormat="1" x14ac:dyDescent="0.3">
      <c r="A16" s="333"/>
      <c r="B16" s="334"/>
      <c r="D16" s="333"/>
      <c r="E16" s="334"/>
    </row>
    <row r="17" spans="1:5" s="268" customFormat="1" x14ac:dyDescent="0.3">
      <c r="A17" s="335"/>
      <c r="B17" s="332"/>
      <c r="D17" s="335"/>
      <c r="E17" s="332"/>
    </row>
    <row r="18" spans="1:5" s="268" customFormat="1" x14ac:dyDescent="0.3">
      <c r="A18" s="333"/>
      <c r="B18" s="334"/>
      <c r="D18" s="333"/>
      <c r="E18" s="334"/>
    </row>
    <row r="19" spans="1:5" s="268" customFormat="1" x14ac:dyDescent="0.3">
      <c r="A19" s="335"/>
      <c r="B19" s="332"/>
      <c r="D19" s="335"/>
      <c r="E19" s="332"/>
    </row>
    <row r="20" spans="1:5" s="268" customFormat="1" x14ac:dyDescent="0.3">
      <c r="A20" s="333"/>
      <c r="B20" s="334"/>
      <c r="D20" s="333"/>
      <c r="E20" s="334"/>
    </row>
    <row r="21" spans="1:5" s="268" customFormat="1" x14ac:dyDescent="0.3">
      <c r="A21" s="335"/>
      <c r="B21" s="332"/>
      <c r="D21" s="335"/>
      <c r="E21" s="332"/>
    </row>
    <row r="22" spans="1:5" s="268" customFormat="1" x14ac:dyDescent="0.3">
      <c r="A22" s="333"/>
      <c r="B22" s="334"/>
      <c r="D22" s="333"/>
      <c r="E22" s="334"/>
    </row>
    <row r="23" spans="1:5" s="268" customFormat="1" x14ac:dyDescent="0.3">
      <c r="A23" s="335"/>
      <c r="B23" s="332"/>
      <c r="D23" s="335"/>
      <c r="E23" s="332"/>
    </row>
    <row r="24" spans="1:5" s="268" customFormat="1" x14ac:dyDescent="0.3">
      <c r="A24" s="333"/>
      <c r="B24" s="334"/>
      <c r="D24" s="333"/>
      <c r="E24" s="334"/>
    </row>
    <row r="25" spans="1:5" s="268" customFormat="1" x14ac:dyDescent="0.3">
      <c r="A25" s="335"/>
      <c r="B25" s="332"/>
      <c r="D25" s="335"/>
      <c r="E25" s="332"/>
    </row>
    <row r="26" spans="1:5" s="268" customFormat="1" x14ac:dyDescent="0.3">
      <c r="A26" s="333"/>
      <c r="B26" s="334"/>
      <c r="D26" s="333"/>
      <c r="E26" s="334"/>
    </row>
    <row r="27" spans="1:5" s="268" customFormat="1" x14ac:dyDescent="0.3">
      <c r="A27" s="335"/>
      <c r="B27" s="332"/>
      <c r="D27" s="335"/>
      <c r="E27" s="332"/>
    </row>
    <row r="28" spans="1:5" s="268" customFormat="1" x14ac:dyDescent="0.3">
      <c r="A28" s="333"/>
      <c r="B28" s="334"/>
      <c r="D28" s="333"/>
      <c r="E28" s="334"/>
    </row>
    <row r="29" spans="1:5" s="268" customFormat="1" x14ac:dyDescent="0.3">
      <c r="A29" s="336"/>
      <c r="B29" s="337"/>
      <c r="D29" s="336"/>
      <c r="E29" s="337"/>
    </row>
    <row r="30" spans="1:5" s="273" customFormat="1" x14ac:dyDescent="0.45">
      <c r="A30" s="338" t="str">
        <f>TEXT(B10,"")&amp;TEXT(" Overall Impact","")</f>
        <v xml:space="preserve"> Overall Impact</v>
      </c>
      <c r="B30" s="339"/>
      <c r="D30" s="338" t="str">
        <f>TEXT(E10,"")&amp;TEXT(" Overall Impact","")</f>
        <v xml:space="preserve"> Overall Impact</v>
      </c>
      <c r="E30" s="340"/>
    </row>
    <row r="33" spans="1:5" x14ac:dyDescent="0.45">
      <c r="A33" s="325" t="s">
        <v>216</v>
      </c>
      <c r="B33" s="326"/>
      <c r="D33" s="325" t="s">
        <v>216</v>
      </c>
      <c r="E33" s="326"/>
    </row>
    <row r="34" spans="1:5" ht="57.6" x14ac:dyDescent="0.45">
      <c r="A34" s="327" t="s">
        <v>217</v>
      </c>
      <c r="B34" s="328" t="s">
        <v>198</v>
      </c>
      <c r="D34" s="327" t="s">
        <v>217</v>
      </c>
      <c r="E34" s="328" t="s">
        <v>218</v>
      </c>
    </row>
    <row r="35" spans="1:5" x14ac:dyDescent="0.45">
      <c r="A35" s="333"/>
      <c r="B35" s="341"/>
      <c r="D35" s="329"/>
      <c r="E35" s="330"/>
    </row>
    <row r="36" spans="1:5" x14ac:dyDescent="0.45">
      <c r="A36" s="335"/>
      <c r="B36" s="342"/>
      <c r="D36" s="331"/>
      <c r="E36" s="332"/>
    </row>
    <row r="37" spans="1:5" x14ac:dyDescent="0.45">
      <c r="A37" s="333"/>
      <c r="B37" s="341"/>
      <c r="D37" s="333"/>
      <c r="E37" s="334"/>
    </row>
    <row r="38" spans="1:5" x14ac:dyDescent="0.45">
      <c r="A38" s="335"/>
      <c r="B38" s="342"/>
      <c r="D38" s="335"/>
      <c r="E38" s="332"/>
    </row>
    <row r="39" spans="1:5" x14ac:dyDescent="0.45">
      <c r="A39" s="333"/>
      <c r="B39" s="341"/>
      <c r="D39" s="333"/>
      <c r="E39" s="334"/>
    </row>
    <row r="40" spans="1:5" x14ac:dyDescent="0.45">
      <c r="A40" s="335"/>
      <c r="B40" s="342"/>
      <c r="D40" s="335"/>
      <c r="E40" s="332"/>
    </row>
    <row r="41" spans="1:5" x14ac:dyDescent="0.45">
      <c r="A41" s="333"/>
      <c r="B41" s="341"/>
      <c r="D41" s="333"/>
      <c r="E41" s="334"/>
    </row>
    <row r="42" spans="1:5" x14ac:dyDescent="0.45">
      <c r="A42" s="335"/>
      <c r="B42" s="342"/>
      <c r="D42" s="335"/>
      <c r="E42" s="332"/>
    </row>
    <row r="43" spans="1:5" x14ac:dyDescent="0.45">
      <c r="A43" s="333"/>
      <c r="B43" s="341"/>
      <c r="D43" s="333"/>
      <c r="E43" s="334"/>
    </row>
    <row r="44" spans="1:5" x14ac:dyDescent="0.45">
      <c r="A44" s="335"/>
      <c r="B44" s="342"/>
      <c r="D44" s="335"/>
      <c r="E44" s="332"/>
    </row>
    <row r="45" spans="1:5" x14ac:dyDescent="0.45">
      <c r="A45" s="333"/>
      <c r="B45" s="341"/>
      <c r="D45" s="333"/>
      <c r="E45" s="334"/>
    </row>
    <row r="46" spans="1:5" x14ac:dyDescent="0.45">
      <c r="A46" s="335"/>
      <c r="B46" s="342"/>
      <c r="D46" s="335"/>
      <c r="E46" s="332"/>
    </row>
    <row r="47" spans="1:5" x14ac:dyDescent="0.45">
      <c r="A47" s="333"/>
      <c r="B47" s="341"/>
      <c r="D47" s="333"/>
      <c r="E47" s="334"/>
    </row>
    <row r="48" spans="1:5" x14ac:dyDescent="0.45">
      <c r="A48" s="335"/>
      <c r="B48" s="342"/>
      <c r="D48" s="335"/>
      <c r="E48" s="332"/>
    </row>
    <row r="49" spans="1:5" x14ac:dyDescent="0.45">
      <c r="A49" s="333"/>
      <c r="B49" s="341"/>
      <c r="D49" s="333"/>
      <c r="E49" s="334"/>
    </row>
    <row r="50" spans="1:5" x14ac:dyDescent="0.45">
      <c r="A50" s="335"/>
      <c r="B50" s="342"/>
      <c r="D50" s="335"/>
      <c r="E50" s="332"/>
    </row>
    <row r="51" spans="1:5" x14ac:dyDescent="0.45">
      <c r="A51" s="333"/>
      <c r="B51" s="341"/>
      <c r="D51" s="333"/>
      <c r="E51" s="334"/>
    </row>
    <row r="52" spans="1:5" x14ac:dyDescent="0.45">
      <c r="A52" s="336"/>
      <c r="B52" s="343"/>
      <c r="D52" s="344"/>
      <c r="E52" s="337"/>
    </row>
    <row r="53" spans="1:5" x14ac:dyDescent="0.45">
      <c r="A53" s="338" t="str">
        <f>TEXT(B33,"")&amp;TEXT(" Overall Impact","")</f>
        <v xml:space="preserve"> Overall Impact</v>
      </c>
      <c r="B53" s="345"/>
      <c r="D53" s="338" t="str">
        <f>TEXT(E33,"")&amp;TEXT(" Overall Impact","")</f>
        <v xml:space="preserve"> Overall Impact</v>
      </c>
      <c r="E53" s="340"/>
    </row>
    <row r="56" spans="1:5" x14ac:dyDescent="0.45">
      <c r="A56" s="1217" t="s">
        <v>219</v>
      </c>
      <c r="B56" s="1217"/>
      <c r="C56" s="1217"/>
      <c r="D56" s="1217"/>
      <c r="E56" s="1217"/>
    </row>
    <row r="57" spans="1:5" x14ac:dyDescent="0.45">
      <c r="A57" s="1217"/>
      <c r="B57" s="1217"/>
      <c r="C57" s="1217"/>
      <c r="D57" s="1217"/>
      <c r="E57" s="1217"/>
    </row>
    <row r="58" spans="1:5" x14ac:dyDescent="0.45">
      <c r="A58" s="346" t="str">
        <f>IFERROR(IF(AND(IF(B10="","",VLOOKUP(B10,'C1-Statewide Avg Rate Level Chg'!$B$12:$F$29,5,FALSE))=B30,IF(E10="","",VLOOKUP(E10,'C1-Statewide Avg Rate Level Chg'!$B$12:$F$29,5,FALSE))=E30,IF(B33="","",VLOOKUP(B33,'C1-Statewide Avg Rate Level Chg'!$B$12:$F$29,5,FALSE))=B53,IF(E33="","",VLOOKUP(E33,'C1-Statewide Avg Rate Level Chg'!$B$12:$F$29,5,FALSE))=E53),"Match Confirmed  ","Does Not Match:  "),"Does Not Match:  ")</f>
        <v xml:space="preserve">Match Confirmed  </v>
      </c>
      <c r="B58" s="347" t="str">
        <f>IFERROR(TEXT(IF(B10="","",IF(VLOOKUP(B10,'C1-Statewide Avg Rate Level Chg'!B12:F29,5,FALSE)='C3-Rate Change by Variable'!B30,"",B10)),"")&amp;"  "&amp;TEXT(IF(E10="","", IF(VLOOKUP(E10,'C1-Statewide Avg Rate Level Chg'!B12:F29,5,FALSE)=E30,"",E10)),"")&amp;"  "&amp;TEXT(IF(B33="","",IF(VLOOKUP('C3-Rate Change by Variable'!B33,'C1-Statewide Avg Rate Level Chg'!B12:F29,5,FALSE)='C3-Rate Change by Variable'!B53,"",B33)),"")&amp;"  "&amp;TEXT(IF(E33="","",IF(VLOOKUP(E33,'C1-Statewide Avg Rate Level Chg'!B12:F29,5,FALSE)=E53,"",E33)),""),"Error")</f>
        <v xml:space="preserve">      </v>
      </c>
    </row>
    <row r="60" spans="1:5" x14ac:dyDescent="0.45">
      <c r="A60" s="348" t="s">
        <v>220</v>
      </c>
    </row>
    <row r="61" spans="1:5" x14ac:dyDescent="0.45">
      <c r="A61" s="349"/>
    </row>
  </sheetData>
  <sheetProtection sheet="1" objects="1" scenarios="1"/>
  <mergeCells count="2">
    <mergeCell ref="A56:E57"/>
    <mergeCell ref="A5:E5"/>
  </mergeCells>
  <conditionalFormatting sqref="A12:B29 B30">
    <cfRule type="expression" dxfId="161" priority="6">
      <formula>AND(ISBLANK($B$10)=FALSE,ISBLANK(A12)=TRUE)</formula>
    </cfRule>
  </conditionalFormatting>
  <conditionalFormatting sqref="A35:B52 B53">
    <cfRule type="expression" dxfId="160" priority="4">
      <formula>AND(ISBLANK($B$33)=FALSE,ISBLANK(A35)=TRUE)</formula>
    </cfRule>
  </conditionalFormatting>
  <conditionalFormatting sqref="B10">
    <cfRule type="containsBlanks" dxfId="159" priority="10">
      <formula>LEN(TRIM(B10))=0</formula>
    </cfRule>
  </conditionalFormatting>
  <conditionalFormatting sqref="B33">
    <cfRule type="containsBlanks" dxfId="158" priority="8">
      <formula>LEN(TRIM(B33))=0</formula>
    </cfRule>
  </conditionalFormatting>
  <conditionalFormatting sqref="D12:E29 E30">
    <cfRule type="expression" dxfId="157" priority="5">
      <formula>AND(ISBLANK($E$10)=FALSE,ISBLANK(D12)=TRUE)</formula>
    </cfRule>
  </conditionalFormatting>
  <conditionalFormatting sqref="D35:E52 E53">
    <cfRule type="expression" dxfId="156" priority="3">
      <formula>AND(ISBLANK($E$33)=FALSE,ISBLANK(D35)=TRUE)</formula>
    </cfRule>
  </conditionalFormatting>
  <conditionalFormatting sqref="E2:E3">
    <cfRule type="cellIs" dxfId="155" priority="1" operator="equal">
      <formula>""</formula>
    </cfRule>
  </conditionalFormatting>
  <conditionalFormatting sqref="E10">
    <cfRule type="containsBlanks" dxfId="154" priority="9">
      <formula>LEN(TRIM(E10))=0</formula>
    </cfRule>
  </conditionalFormatting>
  <conditionalFormatting sqref="E33">
    <cfRule type="containsBlanks" dxfId="153" priority="7">
      <formula>LEN(TRIM(E33))=0</formula>
    </cfRule>
  </conditionalFormatting>
  <printOptions horizontalCentered="1"/>
  <pageMargins left="0.5" right="0.5" top="0.5" bottom="0.5" header="0.3" footer="0.3"/>
  <pageSetup scale="80" fitToWidth="0" fitToHeight="0" orientation="portrait" r:id="rId1"/>
  <rowBreaks count="1" manualBreakCount="1">
    <brk id="32"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FCE724B-3829-4B2B-8AAB-1DE26561F9A2}">
          <x14:formula1>
            <xm:f>'C1-Statewide Avg Rate Level Chg'!$B$12:$B$29</xm:f>
          </x14:formula1>
          <xm:sqref>E33 B33 E10</xm:sqref>
        </x14:dataValidation>
        <x14:dataValidation type="list" allowBlank="1" showInputMessage="1" showErrorMessage="1" error="This list is generated from C1. Fill out the overall impact by coverage/form first." xr:uid="{1CCC3002-29E2-4DA1-A114-DA9DF40E297A}">
          <x14:formula1>
            <xm:f>'C1-Statewide Avg Rate Level Chg'!$B$12:$B$29</xm:f>
          </x14:formula1>
          <xm:sqref>B10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dimension ref="A1:F32"/>
  <sheetViews>
    <sheetView showGridLines="0" zoomScaleNormal="100" zoomScalePageLayoutView="70" workbookViewId="0"/>
  </sheetViews>
  <sheetFormatPr defaultColWidth="9.109375" defaultRowHeight="19.2" x14ac:dyDescent="0.45"/>
  <cols>
    <col min="1" max="6" width="15.88671875" style="257" customWidth="1"/>
    <col min="7" max="16384" width="9.109375" style="257"/>
  </cols>
  <sheetData>
    <row r="1" spans="1:6" x14ac:dyDescent="0.45">
      <c r="A1" s="1055" t="str">
        <f>'General Information'!$A$1</f>
        <v>Texas Department of Insurance</v>
      </c>
    </row>
    <row r="2" spans="1:6" x14ac:dyDescent="0.45">
      <c r="A2" s="1055" t="str">
        <f>'General Information'!$A$2</f>
        <v>Property and Casualty Rate Filing Exhibits</v>
      </c>
      <c r="E2" s="160" t="s">
        <v>97</v>
      </c>
      <c r="F2" s="1018" t="str">
        <f>'General Information'!$E$2</f>
        <v>Fill out Gen Info</v>
      </c>
    </row>
    <row r="3" spans="1:6" x14ac:dyDescent="0.45">
      <c r="A3" s="1055" t="str">
        <f>'General Information'!$A$3</f>
        <v>Rate Filing Template (2025 Edition)</v>
      </c>
      <c r="E3" s="160" t="s">
        <v>98</v>
      </c>
      <c r="F3" s="1018" t="str">
        <f>'General Information'!$E$3</f>
        <v>Fill out Gen Info</v>
      </c>
    </row>
    <row r="5" spans="1:6" x14ac:dyDescent="0.45">
      <c r="A5" s="1132" t="s">
        <v>221</v>
      </c>
      <c r="B5" s="1133"/>
      <c r="C5" s="1133"/>
      <c r="D5" s="1133"/>
      <c r="E5" s="1133"/>
      <c r="F5" s="1133"/>
    </row>
    <row r="6" spans="1:6" x14ac:dyDescent="0.45">
      <c r="A6" s="265"/>
    </row>
    <row r="7" spans="1:6" x14ac:dyDescent="0.45">
      <c r="A7" s="1218" t="s">
        <v>222</v>
      </c>
      <c r="B7" s="1219"/>
      <c r="C7" s="1219"/>
      <c r="D7" s="1219"/>
      <c r="E7" s="1219"/>
      <c r="F7" s="1220"/>
    </row>
    <row r="8" spans="1:6" x14ac:dyDescent="0.45">
      <c r="A8" s="288"/>
      <c r="B8" s="288"/>
      <c r="C8" s="288"/>
      <c r="D8" s="288"/>
      <c r="E8" s="288"/>
      <c r="F8" s="288"/>
    </row>
    <row r="9" spans="1:6" x14ac:dyDescent="0.45">
      <c r="A9" s="350">
        <v>-1</v>
      </c>
      <c r="B9" s="291">
        <f>A9-1</f>
        <v>-2</v>
      </c>
      <c r="C9" s="291">
        <f>B9-1</f>
        <v>-3</v>
      </c>
      <c r="D9" s="291">
        <f t="shared" ref="D9:F9" si="0">C9-1</f>
        <v>-4</v>
      </c>
      <c r="E9" s="291">
        <f t="shared" si="0"/>
        <v>-5</v>
      </c>
      <c r="F9" s="291">
        <f t="shared" si="0"/>
        <v>-6</v>
      </c>
    </row>
    <row r="10" spans="1:6" ht="57.6" x14ac:dyDescent="0.45">
      <c r="A10" s="1022" t="s">
        <v>22</v>
      </c>
      <c r="B10" s="1020" t="s">
        <v>223</v>
      </c>
      <c r="C10" s="1022" t="s">
        <v>224</v>
      </c>
      <c r="D10" s="1022" t="s">
        <v>225</v>
      </c>
      <c r="E10" s="1022" t="s">
        <v>226</v>
      </c>
      <c r="F10" s="1022" t="s">
        <v>227</v>
      </c>
    </row>
    <row r="11" spans="1:6" x14ac:dyDescent="0.45">
      <c r="A11" s="351" t="str">
        <f>IF('General Information'!B20="","20__",A12-1)</f>
        <v>20__</v>
      </c>
      <c r="B11" s="352"/>
      <c r="C11" s="353"/>
      <c r="D11" s="353"/>
      <c r="E11" s="353"/>
      <c r="F11" s="354">
        <f>IFERROR(E11/C11,0)</f>
        <v>0</v>
      </c>
    </row>
    <row r="12" spans="1:6" x14ac:dyDescent="0.45">
      <c r="A12" s="355" t="str">
        <f>IF('General Information'!B20="","20__",A13-1)</f>
        <v>20__</v>
      </c>
      <c r="B12" s="356"/>
      <c r="C12" s="357"/>
      <c r="D12" s="357"/>
      <c r="E12" s="357"/>
      <c r="F12" s="358">
        <f t="shared" ref="F12:F15" si="1">IFERROR(E12/C12,0)</f>
        <v>0</v>
      </c>
    </row>
    <row r="13" spans="1:6" x14ac:dyDescent="0.45">
      <c r="A13" s="351" t="str">
        <f>IF('General Information'!B20="","20__",A14-1)</f>
        <v>20__</v>
      </c>
      <c r="B13" s="352"/>
      <c r="C13" s="353"/>
      <c r="D13" s="353"/>
      <c r="E13" s="353"/>
      <c r="F13" s="354">
        <f t="shared" si="1"/>
        <v>0</v>
      </c>
    </row>
    <row r="14" spans="1:6" x14ac:dyDescent="0.45">
      <c r="A14" s="355" t="str">
        <f>IF('General Information'!B20="","20__",A15-1)</f>
        <v>20__</v>
      </c>
      <c r="B14" s="356"/>
      <c r="C14" s="357"/>
      <c r="D14" s="357"/>
      <c r="E14" s="357"/>
      <c r="F14" s="358">
        <f t="shared" si="1"/>
        <v>0</v>
      </c>
    </row>
    <row r="15" spans="1:6" x14ac:dyDescent="0.45">
      <c r="A15" s="359" t="str">
        <f>IF('General Information'!B20="","20__",IF(MONTH('General Information'!B20)=12,YEAR('General Information'!B20),YEAR('General Information'!B20)-1))</f>
        <v>20__</v>
      </c>
      <c r="B15" s="360"/>
      <c r="C15" s="361"/>
      <c r="D15" s="361"/>
      <c r="E15" s="361"/>
      <c r="F15" s="362">
        <f t="shared" si="1"/>
        <v>0</v>
      </c>
    </row>
    <row r="17" spans="1:6" x14ac:dyDescent="0.45">
      <c r="A17" s="1218" t="s">
        <v>228</v>
      </c>
      <c r="B17" s="1219"/>
      <c r="C17" s="1219"/>
      <c r="D17" s="1219"/>
      <c r="E17" s="1219"/>
      <c r="F17" s="1220"/>
    </row>
    <row r="18" spans="1:6" x14ac:dyDescent="0.45">
      <c r="A18" s="363"/>
      <c r="B18" s="363"/>
      <c r="C18" s="363"/>
      <c r="D18" s="363"/>
      <c r="E18" s="363"/>
      <c r="F18" s="363"/>
    </row>
    <row r="19" spans="1:6" x14ac:dyDescent="0.45">
      <c r="A19" s="350">
        <f>F9-1</f>
        <v>-7</v>
      </c>
      <c r="B19" s="291">
        <f>A19-1</f>
        <v>-8</v>
      </c>
      <c r="C19" s="291">
        <f>B19-1</f>
        <v>-9</v>
      </c>
      <c r="D19" s="291">
        <f t="shared" ref="D19" si="2">C19-1</f>
        <v>-10</v>
      </c>
      <c r="E19" s="291">
        <f t="shared" ref="E19" si="3">D19-1</f>
        <v>-11</v>
      </c>
      <c r="F19" s="291">
        <f t="shared" ref="F19" si="4">E19-1</f>
        <v>-12</v>
      </c>
    </row>
    <row r="20" spans="1:6" ht="57.6" x14ac:dyDescent="0.45">
      <c r="A20" s="1022" t="s">
        <v>22</v>
      </c>
      <c r="B20" s="1020" t="s">
        <v>223</v>
      </c>
      <c r="C20" s="1022" t="s">
        <v>224</v>
      </c>
      <c r="D20" s="1022" t="s">
        <v>225</v>
      </c>
      <c r="E20" s="1022" t="s">
        <v>226</v>
      </c>
      <c r="F20" s="1022" t="s">
        <v>227</v>
      </c>
    </row>
    <row r="21" spans="1:6" x14ac:dyDescent="0.45">
      <c r="A21" s="351" t="str">
        <f>A11</f>
        <v>20__</v>
      </c>
      <c r="B21" s="352"/>
      <c r="C21" s="353"/>
      <c r="D21" s="353"/>
      <c r="E21" s="353"/>
      <c r="F21" s="364">
        <f>IFERROR(E21/C21,0)</f>
        <v>0</v>
      </c>
    </row>
    <row r="22" spans="1:6" x14ac:dyDescent="0.45">
      <c r="A22" s="355" t="str">
        <f>A12</f>
        <v>20__</v>
      </c>
      <c r="B22" s="356"/>
      <c r="C22" s="357"/>
      <c r="D22" s="357"/>
      <c r="E22" s="357"/>
      <c r="F22" s="358">
        <f>IFERROR(E22/C22,0)</f>
        <v>0</v>
      </c>
    </row>
    <row r="23" spans="1:6" x14ac:dyDescent="0.45">
      <c r="A23" s="351" t="str">
        <f>A13</f>
        <v>20__</v>
      </c>
      <c r="B23" s="352"/>
      <c r="C23" s="353"/>
      <c r="D23" s="353"/>
      <c r="E23" s="353"/>
      <c r="F23" s="354">
        <f t="shared" ref="F23:F25" si="5">IFERROR(E23/C23,0)</f>
        <v>0</v>
      </c>
    </row>
    <row r="24" spans="1:6" x14ac:dyDescent="0.45">
      <c r="A24" s="355" t="str">
        <f>A14</f>
        <v>20__</v>
      </c>
      <c r="B24" s="356"/>
      <c r="C24" s="357"/>
      <c r="D24" s="357"/>
      <c r="E24" s="357"/>
      <c r="F24" s="358">
        <f t="shared" si="5"/>
        <v>0</v>
      </c>
    </row>
    <row r="25" spans="1:6" x14ac:dyDescent="0.45">
      <c r="A25" s="359" t="str">
        <f>A15</f>
        <v>20__</v>
      </c>
      <c r="B25" s="360"/>
      <c r="C25" s="361"/>
      <c r="D25" s="361"/>
      <c r="E25" s="361"/>
      <c r="F25" s="365">
        <f t="shared" si="5"/>
        <v>0</v>
      </c>
    </row>
    <row r="26" spans="1:6" x14ac:dyDescent="0.45">
      <c r="A26" s="366"/>
      <c r="B26" s="367"/>
      <c r="C26" s="367"/>
      <c r="D26" s="367"/>
      <c r="E26" s="367"/>
      <c r="F26" s="368"/>
    </row>
    <row r="27" spans="1:6" x14ac:dyDescent="0.45">
      <c r="A27" s="369">
        <v>1</v>
      </c>
      <c r="B27" s="257" t="s">
        <v>229</v>
      </c>
      <c r="C27" s="367"/>
      <c r="D27" s="367"/>
      <c r="E27" s="367"/>
      <c r="F27" s="368"/>
    </row>
    <row r="28" spans="1:6" x14ac:dyDescent="0.45">
      <c r="A28" s="369">
        <v>6</v>
      </c>
      <c r="B28" s="372" t="s">
        <v>230</v>
      </c>
    </row>
    <row r="29" spans="1:6" x14ac:dyDescent="0.45">
      <c r="A29" s="369">
        <v>7</v>
      </c>
      <c r="B29" s="257" t="s">
        <v>229</v>
      </c>
    </row>
    <row r="30" spans="1:6" x14ac:dyDescent="0.45">
      <c r="A30" s="369">
        <v>12</v>
      </c>
      <c r="B30" s="372" t="s">
        <v>231</v>
      </c>
    </row>
    <row r="32" spans="1:6" x14ac:dyDescent="0.45">
      <c r="B32" s="257" t="s">
        <v>232</v>
      </c>
    </row>
  </sheetData>
  <sheetProtection sheet="1" objects="1" scenarios="1"/>
  <mergeCells count="3">
    <mergeCell ref="A17:F17"/>
    <mergeCell ref="A7:F7"/>
    <mergeCell ref="A5:F5"/>
  </mergeCells>
  <conditionalFormatting sqref="B11:E15">
    <cfRule type="expression" dxfId="152" priority="3">
      <formula>B11=""</formula>
    </cfRule>
  </conditionalFormatting>
  <conditionalFormatting sqref="B21:E25">
    <cfRule type="expression" dxfId="151" priority="2">
      <formula>B21=""</formula>
    </cfRule>
  </conditionalFormatting>
  <conditionalFormatting sqref="F2:F3">
    <cfRule type="cellIs" dxfId="150" priority="1" operator="equal">
      <formula>""</formula>
    </cfRule>
  </conditionalFormatting>
  <printOptions horizontalCentered="1"/>
  <pageMargins left="0.5" right="0.5" top="0.5" bottom="0.5" header="0.3" footer="0.3"/>
  <pageSetup fitToWidth="0" fitToHeight="0" orientation="portrait" r:id="rId1"/>
  <ignoredErrors>
    <ignoredError sqref="A21:A25 A11:A13"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Property and Casualty)" ma:contentTypeID="0x01010080157A60846FD04C954AC0DFDC62CA7500D1627387739E604F81A1BFD70358DFED" ma:contentTypeVersion="20" ma:contentTypeDescription="" ma:contentTypeScope="" ma:versionID="ebd673e7e88b6b5da1ab6a3ab73b1c48">
  <xsd:schema xmlns:xsd="http://www.w3.org/2001/XMLSchema" xmlns:xs="http://www.w3.org/2001/XMLSchema" xmlns:p="http://schemas.microsoft.com/office/2006/metadata/properties" xmlns:ns2="c2d54b8f-ed7c-47fb-898b-136e675c4f0b" targetNamespace="http://schemas.microsoft.com/office/2006/metadata/properties" ma:root="true" ma:fieldsID="f26d1d0117cd87c804414e5574ca1c39" ns2:_="">
    <xsd:import namespace="c2d54b8f-ed7c-47fb-898b-136e675c4f0b"/>
    <xsd:element name="properties">
      <xsd:complexType>
        <xsd:sequence>
          <xsd:element name="documentManagement">
            <xsd:complexType>
              <xsd:all>
                <xsd:element ref="ns2:de8d76eafc0046afb82369c909c51ae4" minOccurs="0"/>
                <xsd:element ref="ns2:TaxCatchAll" minOccurs="0"/>
                <xsd:element ref="ns2:TaxCatchAllLabel" minOccurs="0"/>
                <xsd:element ref="ns2:gb25a1ca6c6d4463bc56fb7ac550d5ca" minOccurs="0"/>
                <xsd:element ref="ns2:ba222f438363465cb8bc10755cff219e" minOccurs="0"/>
                <xsd:element ref="ns2:j470bcfc62c44afbab3f2ca5eb061ff0" minOccurs="0"/>
                <xsd:element ref="ns2:n00c98d1b46248cd89ef9ad58a09185e" minOccurs="0"/>
                <xsd:element ref="ns2:afae463541fe41dd83334fa6cd8f190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d54b8f-ed7c-47fb-898b-136e675c4f0b" elementFormDefault="qualified">
    <xsd:import namespace="http://schemas.microsoft.com/office/2006/documentManagement/types"/>
    <xsd:import namespace="http://schemas.microsoft.com/office/infopath/2007/PartnerControls"/>
    <xsd:element name="de8d76eafc0046afb82369c909c51ae4" ma:index="8" nillable="true" ma:taxonomy="true" ma:internalName="de8d76eafc0046afb82369c909c51ae4" ma:taxonomyFieldName="Fiscal_x0020_Year_x0028_s_x0029_" ma:displayName="Fiscal Year(s)" ma:default="" ma:fieldId="{de8d76ea-fc00-46af-b823-69c909c51ae4}" ma:taxonomyMulti="true" ma:sspId="474f55b7-900d-4f84-ba6c-75998a8aa97b" ma:termSetId="358c90d7-e9cf-4033-bea8-b2bb741a5a33"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45d64d0e-1af5-497d-a7c3-d59187538e95}" ma:internalName="TaxCatchAll" ma:showField="CatchAllData" ma:web="0a1b9ff1-59ab-4556-b2d9-b355dcd99d9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45d64d0e-1af5-497d-a7c3-d59187538e95}" ma:internalName="TaxCatchAllLabel" ma:readOnly="true" ma:showField="CatchAllDataLabel" ma:web="0a1b9ff1-59ab-4556-b2d9-b355dcd99d93">
      <xsd:complexType>
        <xsd:complexContent>
          <xsd:extension base="dms:MultiChoiceLookup">
            <xsd:sequence>
              <xsd:element name="Value" type="dms:Lookup" maxOccurs="unbounded" minOccurs="0" nillable="true"/>
            </xsd:sequence>
          </xsd:extension>
        </xsd:complexContent>
      </xsd:complexType>
    </xsd:element>
    <xsd:element name="gb25a1ca6c6d4463bc56fb7ac550d5ca" ma:index="12" ma:taxonomy="true" ma:internalName="gb25a1ca6c6d4463bc56fb7ac550d5ca" ma:taxonomyFieldName="Sensitivity" ma:displayName="Old_Sensitivity" ma:default="1;#Internal|6ac4f884-da03-427a-b910-4312ddf3e30d" ma:fieldId="{0b25a1ca-6c6d-4463-bc56-fb7ac550d5ca}" ma:sspId="474f55b7-900d-4f84-ba6c-75998a8aa97b" ma:termSetId="8686965f-92db-4f1a-92f2-f12db8083c4e" ma:anchorId="00000000-0000-0000-0000-000000000000" ma:open="false" ma:isKeyword="false">
      <xsd:complexType>
        <xsd:sequence>
          <xsd:element ref="pc:Terms" minOccurs="0" maxOccurs="1"/>
        </xsd:sequence>
      </xsd:complexType>
    </xsd:element>
    <xsd:element name="ba222f438363465cb8bc10755cff219e" ma:index="14" nillable="true" ma:taxonomy="true" ma:internalName="ba222f438363465cb8bc10755cff219e" ma:taxonomyFieldName="Document_x0020_Type_x0020__x0028_Property_x0020_and_x0020_Casualty_x0029_" ma:displayName="Document Type (Property and Casualty)" ma:default="17;#New Document|595c3e9d-f273-46ad-a0ff-8324acee42d3" ma:fieldId="{ba222f43-8363-465c-b8bc-10755cff219e}" ma:sspId="474f55b7-900d-4f84-ba6c-75998a8aa97b" ma:termSetId="2ed7a9ca-cea9-411f-bcfe-1ec52fedd1f9" ma:anchorId="00000000-0000-0000-0000-000000000000" ma:open="false" ma:isKeyword="false">
      <xsd:complexType>
        <xsd:sequence>
          <xsd:element ref="pc:Terms" minOccurs="0" maxOccurs="1"/>
        </xsd:sequence>
      </xsd:complexType>
    </xsd:element>
    <xsd:element name="j470bcfc62c44afbab3f2ca5eb061ff0" ma:index="16" nillable="true" ma:taxonomy="true" ma:internalName="j470bcfc62c44afbab3f2ca5eb061ff0" ma:taxonomyFieldName="Retention_x0020_Policy" ma:displayName="Retention Policy" ma:default="" ma:fieldId="{3470bcfc-62c4-4afb-ab3f-2ca5eb061ff0}" ma:sspId="474f55b7-900d-4f84-ba6c-75998a8aa97b" ma:termSetId="38458454-0237-46e2-8b8f-5c43c154fbeb" ma:anchorId="00000000-0000-0000-0000-000000000000" ma:open="false" ma:isKeyword="false">
      <xsd:complexType>
        <xsd:sequence>
          <xsd:element ref="pc:Terms" minOccurs="0" maxOccurs="1"/>
        </xsd:sequence>
      </xsd:complexType>
    </xsd:element>
    <xsd:element name="n00c98d1b46248cd89ef9ad58a09185e" ma:index="18" nillable="true" ma:taxonomy="true" ma:internalName="n00c98d1b46248cd89ef9ad58a09185e" ma:taxonomyFieldName="Calendar_x0020_Year_x0028_s_x0029_" ma:displayName="Calendar Year(s)" ma:default="" ma:fieldId="{700c98d1-b462-48cd-89ef-9ad58a09185e}" ma:taxonomyMulti="true" ma:sspId="474f55b7-900d-4f84-ba6c-75998a8aa97b" ma:termSetId="c36bf5e7-8095-4acf-a22f-15860217e198" ma:anchorId="00000000-0000-0000-0000-000000000000" ma:open="false" ma:isKeyword="false">
      <xsd:complexType>
        <xsd:sequence>
          <xsd:element ref="pc:Terms" minOccurs="0" maxOccurs="1"/>
        </xsd:sequence>
      </xsd:complexType>
    </xsd:element>
    <xsd:element name="afae463541fe41dd83334fa6cd8f1908" ma:index="20" nillable="true" ma:taxonomy="true" ma:internalName="afae463541fe41dd83334fa6cd8f1908" ma:taxonomyFieldName="Legislative_x0020_Session" ma:displayName="Legislative Session" ma:default="" ma:fieldId="{afae4635-41fe-41dd-8333-4fa6cd8f1908}" ma:sspId="474f55b7-900d-4f84-ba6c-75998a8aa97b" ma:termSetId="9274a469-24c3-4674-aaf0-155bbc3fa4b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2d54b8f-ed7c-47fb-898b-136e675c4f0b">
      <Value>17</Value>
      <Value>1</Value>
    </TaxCatchAll>
    <afae463541fe41dd83334fa6cd8f1908 xmlns="c2d54b8f-ed7c-47fb-898b-136e675c4f0b">
      <Terms xmlns="http://schemas.microsoft.com/office/infopath/2007/PartnerControls"/>
    </afae463541fe41dd83334fa6cd8f1908>
    <gb25a1ca6c6d4463bc56fb7ac550d5ca xmlns="c2d54b8f-ed7c-47fb-898b-136e675c4f0b">
      <Terms xmlns="http://schemas.microsoft.com/office/infopath/2007/PartnerControls">
        <TermInfo xmlns="http://schemas.microsoft.com/office/infopath/2007/PartnerControls">
          <TermName xmlns="http://schemas.microsoft.com/office/infopath/2007/PartnerControls">Internal</TermName>
          <TermId xmlns="http://schemas.microsoft.com/office/infopath/2007/PartnerControls">6ac4f884-da03-427a-b910-4312ddf3e30d</TermId>
        </TermInfo>
      </Terms>
    </gb25a1ca6c6d4463bc56fb7ac550d5ca>
    <de8d76eafc0046afb82369c909c51ae4 xmlns="c2d54b8f-ed7c-47fb-898b-136e675c4f0b">
      <Terms xmlns="http://schemas.microsoft.com/office/infopath/2007/PartnerControls"/>
    </de8d76eafc0046afb82369c909c51ae4>
    <ba222f438363465cb8bc10755cff219e xmlns="c2d54b8f-ed7c-47fb-898b-136e675c4f0b">
      <Terms xmlns="http://schemas.microsoft.com/office/infopath/2007/PartnerControls">
        <TermInfo xmlns="http://schemas.microsoft.com/office/infopath/2007/PartnerControls">
          <TermName xmlns="http://schemas.microsoft.com/office/infopath/2007/PartnerControls">New Document</TermName>
          <TermId xmlns="http://schemas.microsoft.com/office/infopath/2007/PartnerControls">595c3e9d-f273-46ad-a0ff-8324acee42d3</TermId>
        </TermInfo>
      </Terms>
    </ba222f438363465cb8bc10755cff219e>
    <j470bcfc62c44afbab3f2ca5eb061ff0 xmlns="c2d54b8f-ed7c-47fb-898b-136e675c4f0b">
      <Terms xmlns="http://schemas.microsoft.com/office/infopath/2007/PartnerControls"/>
    </j470bcfc62c44afbab3f2ca5eb061ff0>
    <n00c98d1b46248cd89ef9ad58a09185e xmlns="c2d54b8f-ed7c-47fb-898b-136e675c4f0b">
      <Terms xmlns="http://schemas.microsoft.com/office/infopath/2007/PartnerControls"/>
    </n00c98d1b46248cd89ef9ad58a09185e>
  </documentManagement>
</p:properties>
</file>

<file path=customXml/item3.xml><?xml version="1.0" encoding="utf-8"?>
<?mso-contentType ?>
<SharedContentType xmlns="Microsoft.SharePoint.Taxonomy.ContentTypeSync" SourceId="474f55b7-900d-4f84-ba6c-75998a8aa97b" ContentTypeId="0x01010080157A60846FD04C954AC0DFDC62CA75"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8A0C7E-99DB-47F1-8323-876E833354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d54b8f-ed7c-47fb-898b-136e675c4f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AA1D57-60EC-41CA-B80E-6B3AD4140BB0}">
  <ds:schemaRefs>
    <ds:schemaRef ds:uri="http://www.w3.org/XML/1998/namespace"/>
    <ds:schemaRef ds:uri="http://schemas.openxmlformats.org/package/2006/metadata/core-properties"/>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c2d54b8f-ed7c-47fb-898b-136e675c4f0b"/>
    <ds:schemaRef ds:uri="http://schemas.microsoft.com/office/2006/metadata/properties"/>
  </ds:schemaRefs>
</ds:datastoreItem>
</file>

<file path=customXml/itemProps3.xml><?xml version="1.0" encoding="utf-8"?>
<ds:datastoreItem xmlns:ds="http://schemas.openxmlformats.org/officeDocument/2006/customXml" ds:itemID="{F11AB1EA-47A9-46E8-8AA8-D8830AA9AEF3}">
  <ds:schemaRefs>
    <ds:schemaRef ds:uri="Microsoft.SharePoint.Taxonomy.ContentTypeSync"/>
  </ds:schemaRefs>
</ds:datastoreItem>
</file>

<file path=customXml/itemProps4.xml><?xml version="1.0" encoding="utf-8"?>
<ds:datastoreItem xmlns:ds="http://schemas.openxmlformats.org/officeDocument/2006/customXml" ds:itemID="{7D5FFFAB-750B-48C5-A9F6-A4B71425A1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54</vt:i4>
      </vt:variant>
    </vt:vector>
  </HeadingPairs>
  <TitlesOfParts>
    <vt:vector size="86" baseType="lpstr">
      <vt:lpstr>Drop Down Lists and Formatting</vt:lpstr>
      <vt:lpstr>READ ME</vt:lpstr>
      <vt:lpstr>A-Rate Filing Checklist</vt:lpstr>
      <vt:lpstr>General Information</vt:lpstr>
      <vt:lpstr>Indication Checklist</vt:lpstr>
      <vt:lpstr>C1-Statewide Avg Rate Level Chg</vt:lpstr>
      <vt:lpstr>C2-Rate Change History</vt:lpstr>
      <vt:lpstr>C3-Rate Change by Variable</vt:lpstr>
      <vt:lpstr>D-Historical Experience</vt:lpstr>
      <vt:lpstr>E-Expense</vt:lpstr>
      <vt:lpstr>1-Indication</vt:lpstr>
      <vt:lpstr>2-Current Rate Level</vt:lpstr>
      <vt:lpstr>3-Trend Period</vt:lpstr>
      <vt:lpstr>4A-Premium Trend</vt:lpstr>
      <vt:lpstr>4B-Premium Trend</vt:lpstr>
      <vt:lpstr>5A-Loss Trend</vt:lpstr>
      <vt:lpstr>5B-Loss Trend</vt:lpstr>
      <vt:lpstr>5C-Loss Trend</vt:lpstr>
      <vt:lpstr>5D-Loss Ratio Trend</vt:lpstr>
      <vt:lpstr>6-Loss Development</vt:lpstr>
      <vt:lpstr>7-Large Loss Load</vt:lpstr>
      <vt:lpstr>8-Non-Modeled Cat Loss Load</vt:lpstr>
      <vt:lpstr>9-Modeled Cat</vt:lpstr>
      <vt:lpstr>10-Loss Adjustment Expenses</vt:lpstr>
      <vt:lpstr>11-Fixed &amp; Variable Expenses</vt:lpstr>
      <vt:lpstr>12-Reinsurance</vt:lpstr>
      <vt:lpstr>13A-Profit</vt:lpstr>
      <vt:lpstr>13B-Effective Return</vt:lpstr>
      <vt:lpstr>14-Credibility</vt:lpstr>
      <vt:lpstr>15-Fees</vt:lpstr>
      <vt:lpstr>16-Policyholder Impact</vt:lpstr>
      <vt:lpstr>17-Premium Change by County</vt:lpstr>
      <vt:lpstr>Assessments1</vt:lpstr>
      <vt:lpstr>Assessments2</vt:lpstr>
      <vt:lpstr>Confirm_NA</vt:lpstr>
      <vt:lpstr>CY_AY</vt:lpstr>
      <vt:lpstr>DCCE</vt:lpstr>
      <vt:lpstr>'15-Fees'!Fees</vt:lpstr>
      <vt:lpstr>LOB</vt:lpstr>
      <vt:lpstr>'10-Loss Adjustment Expenses'!Print_Area</vt:lpstr>
      <vt:lpstr>'12-Reinsurance'!Print_Area</vt:lpstr>
      <vt:lpstr>'15-Fees'!Print_Area</vt:lpstr>
      <vt:lpstr>'16-Policyholder Impact'!Print_Area</vt:lpstr>
      <vt:lpstr>'3-Trend Period'!Print_Area</vt:lpstr>
      <vt:lpstr>'4A-Premium Trend'!Print_Area</vt:lpstr>
      <vt:lpstr>'4B-Premium Trend'!Print_Area</vt:lpstr>
      <vt:lpstr>'5A-Loss Trend'!Print_Area</vt:lpstr>
      <vt:lpstr>'5B-Loss Trend'!Print_Area</vt:lpstr>
      <vt:lpstr>'5C-Loss Trend'!Print_Area</vt:lpstr>
      <vt:lpstr>'5D-Loss Ratio Trend'!Print_Area</vt:lpstr>
      <vt:lpstr>'6-Loss Development'!Print_Area</vt:lpstr>
      <vt:lpstr>'8-Non-Modeled Cat Loss Load'!Print_Area</vt:lpstr>
      <vt:lpstr>'9-Modeled Cat'!Print_Area</vt:lpstr>
      <vt:lpstr>'A-Rate Filing Checklist'!Print_Area</vt:lpstr>
      <vt:lpstr>'E-Expense'!Print_Area</vt:lpstr>
      <vt:lpstr>'General Information'!Print_Area</vt:lpstr>
      <vt:lpstr>'Indication Checklist'!Print_Area</vt:lpstr>
      <vt:lpstr>'10-Loss Adjustment Expenses'!Print_Titles</vt:lpstr>
      <vt:lpstr>'11-Fixed &amp; Variable Expenses'!Print_Titles</vt:lpstr>
      <vt:lpstr>'12-Reinsurance'!Print_Titles</vt:lpstr>
      <vt:lpstr>'13A-Profit'!Print_Titles</vt:lpstr>
      <vt:lpstr>'14-Credibility'!Print_Titles</vt:lpstr>
      <vt:lpstr>'15-Fees'!Print_Titles</vt:lpstr>
      <vt:lpstr>'16-Policyholder Impact'!Print_Titles</vt:lpstr>
      <vt:lpstr>'17-Premium Change by County'!Print_Titles</vt:lpstr>
      <vt:lpstr>'1-Indication'!Print_Titles</vt:lpstr>
      <vt:lpstr>'2-Current Rate Level'!Print_Titles</vt:lpstr>
      <vt:lpstr>'3-Trend Period'!Print_Titles</vt:lpstr>
      <vt:lpstr>'4A-Premium Trend'!Print_Titles</vt:lpstr>
      <vt:lpstr>'4B-Premium Trend'!Print_Titles</vt:lpstr>
      <vt:lpstr>'5C-Loss Trend'!Print_Titles</vt:lpstr>
      <vt:lpstr>'5D-Loss Ratio Trend'!Print_Titles</vt:lpstr>
      <vt:lpstr>'6-Loss Development'!Print_Titles</vt:lpstr>
      <vt:lpstr>'7-Large Loss Load'!Print_Titles</vt:lpstr>
      <vt:lpstr>'8-Non-Modeled Cat Loss Load'!Print_Titles</vt:lpstr>
      <vt:lpstr>'9-Modeled Cat'!Print_Titles</vt:lpstr>
      <vt:lpstr>'A-Rate Filing Checklist'!Print_Titles</vt:lpstr>
      <vt:lpstr>'C1-Statewide Avg Rate Level Chg'!Print_Titles</vt:lpstr>
      <vt:lpstr>'C2-Rate Change History'!Print_Titles</vt:lpstr>
      <vt:lpstr>'C3-Rate Change by Variable'!Print_Titles</vt:lpstr>
      <vt:lpstr>'E-Expense'!Print_Titles</vt:lpstr>
      <vt:lpstr>'General Information'!Print_Titles</vt:lpstr>
      <vt:lpstr>'Indication Checklist'!Print_Titles</vt:lpstr>
      <vt:lpstr>'READ ME'!Print_Titles</vt:lpstr>
      <vt:lpstr>Rate_Rev_Freq</vt:lpstr>
      <vt:lpstr>Yes_No</vt:lpstr>
    </vt:vector>
  </TitlesOfParts>
  <Manager/>
  <Company>Texas Department of Insurance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Allison Montigny</dc:creator>
  <cp:keywords/>
  <dc:description/>
  <cp:lastModifiedBy>David Boon</cp:lastModifiedBy>
  <cp:revision/>
  <cp:lastPrinted>2025-01-24T14:37:00Z</cp:lastPrinted>
  <dcterms:created xsi:type="dcterms:W3CDTF">2012-03-01T16:48:28Z</dcterms:created>
  <dcterms:modified xsi:type="dcterms:W3CDTF">2025-02-04T16:41:16Z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0x01010080157A60846FD04C954AC0DFDC62CA7500D1627387739E604F81A1BFD70358DFED</vt:lpwstr>
  </property>
  <property fmtid="{D5CDD505-2E9C-101B-9397-08002B2CF9AE}" pid="3" name="MediaServiceImageTags">
    <vt:lpwstr/>
  </property>
  <property fmtid="{D5CDD505-2E9C-101B-9397-08002B2CF9AE}" pid="4" name="lcf76f155ced4ddcb4097134ff3c332f">
    <vt:lpwstr/>
  </property>
  <property fmtid="{D5CDD505-2E9C-101B-9397-08002B2CF9AE}" pid="5" name="Fiscal Year(s)">
    <vt:lpwstr/>
  </property>
  <property fmtid="{D5CDD505-2E9C-101B-9397-08002B2CF9AE}" pid="6" name="Document Type (Property and Casualty)">
    <vt:lpwstr>17;#New Document|595c3e9d-f273-46ad-a0ff-8324acee42d3</vt:lpwstr>
  </property>
  <property fmtid="{D5CDD505-2E9C-101B-9397-08002B2CF9AE}" pid="7" name="Calendar Year(s)">
    <vt:lpwstr/>
  </property>
  <property fmtid="{D5CDD505-2E9C-101B-9397-08002B2CF9AE}" pid="8" name="Legislative Session">
    <vt:lpwstr/>
  </property>
  <property fmtid="{D5CDD505-2E9C-101B-9397-08002B2CF9AE}" pid="9" name="Retention Policy">
    <vt:lpwstr/>
  </property>
  <property fmtid="{D5CDD505-2E9C-101B-9397-08002B2CF9AE}" pid="10" name="Sensitivity">
    <vt:lpwstr>1;#Internal|6ac4f884-da03-427a-b910-4312ddf3e30d</vt:lpwstr>
  </property>
  <property fmtid="{D5CDD505-2E9C-101B-9397-08002B2CF9AE}" pid="11" name="Calendar_x0020_Year_x0028_s_x0029_">
    <vt:lpwstr/>
  </property>
  <property fmtid="{D5CDD505-2E9C-101B-9397-08002B2CF9AE}" pid="12" name="Legislative_x0020_Session">
    <vt:lpwstr/>
  </property>
  <property fmtid="{D5CDD505-2E9C-101B-9397-08002B2CF9AE}" pid="13" name="Document_x0020_Type_x0020__x0028_Property_x0020_and_x0020_Casualty_x0029_">
    <vt:lpwstr>17;#New Document|595c3e9d-f273-46ad-a0ff-8324acee42d3</vt:lpwstr>
  </property>
  <property fmtid="{D5CDD505-2E9C-101B-9397-08002B2CF9AE}" pid="14" name="Retention_x0020_Policy">
    <vt:lpwstr/>
  </property>
  <property fmtid="{D5CDD505-2E9C-101B-9397-08002B2CF9AE}" pid="15" name="Fiscal_x0020_Year_x0028_s_x0029_">
    <vt:lpwstr/>
  </property>
  <property fmtid="{D5CDD505-2E9C-101B-9397-08002B2CF9AE}" pid="16" name="MSIP_Label_ba62d2fa-4fb9-40b5-9131-9ae16a6c0ad0_Enabled">
    <vt:lpwstr>true</vt:lpwstr>
  </property>
  <property fmtid="{D5CDD505-2E9C-101B-9397-08002B2CF9AE}" pid="17" name="MSIP_Label_ba62d2fa-4fb9-40b5-9131-9ae16a6c0ad0_SetDate">
    <vt:lpwstr>2025-01-15T16:03:09Z</vt:lpwstr>
  </property>
  <property fmtid="{D5CDD505-2E9C-101B-9397-08002B2CF9AE}" pid="18" name="MSIP_Label_ba62d2fa-4fb9-40b5-9131-9ae16a6c0ad0_Method">
    <vt:lpwstr>Standard</vt:lpwstr>
  </property>
  <property fmtid="{D5CDD505-2E9C-101B-9397-08002B2CF9AE}" pid="19" name="MSIP_Label_ba62d2fa-4fb9-40b5-9131-9ae16a6c0ad0_Name">
    <vt:lpwstr>Internal</vt:lpwstr>
  </property>
  <property fmtid="{D5CDD505-2E9C-101B-9397-08002B2CF9AE}" pid="20" name="MSIP_Label_ba62d2fa-4fb9-40b5-9131-9ae16a6c0ad0_SiteId">
    <vt:lpwstr>6c600c88-7a50-421a-9817-a970a01aed2a</vt:lpwstr>
  </property>
  <property fmtid="{D5CDD505-2E9C-101B-9397-08002B2CF9AE}" pid="21" name="MSIP_Label_ba62d2fa-4fb9-40b5-9131-9ae16a6c0ad0_ActionId">
    <vt:lpwstr>8b868e7d-baed-475a-995a-29edf2840631</vt:lpwstr>
  </property>
  <property fmtid="{D5CDD505-2E9C-101B-9397-08002B2CF9AE}" pid="22" name="MSIP_Label_ba62d2fa-4fb9-40b5-9131-9ae16a6c0ad0_ContentBits">
    <vt:lpwstr>0</vt:lpwstr>
  </property>
  <property fmtid="{D5CDD505-2E9C-101B-9397-08002B2CF9AE}" pid="23" name="MSIP_Label_ba62d2fa-4fb9-40b5-9131-9ae16a6c0ad0_Tag">
    <vt:lpwstr>10, 3, 0, 2</vt:lpwstr>
  </property>
</Properties>
</file>